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H:\Meu Drive\MIT sd\Clientes\First Point\ALESC\SIGRH\2026\JUN\3600-2026\"/>
    </mc:Choice>
  </mc:AlternateContent>
  <xr:revisionPtr revIDLastSave="0" documentId="13_ncr:1_{91A290C3-8C40-4972-BEFE-6FCBAE3D3B68}" xr6:coauthVersionLast="47" xr6:coauthVersionMax="47" xr10:uidLastSave="{00000000-0000-0000-0000-000000000000}"/>
  <workbookProtection lockStructure="1"/>
  <bookViews>
    <workbookView xWindow="-108" yWindow="-108" windowWidth="23256" windowHeight="12456" tabRatio="618" xr2:uid="{00000000-000D-0000-FFFF-FFFF00000000}"/>
  </bookViews>
  <sheets>
    <sheet name="Dados da OS" sheetId="1" r:id="rId1"/>
    <sheet name="Funções" sheetId="2" r:id="rId2"/>
    <sheet name="Pontos por Requisito" sheetId="16" r:id="rId3"/>
    <sheet name="Fatores de Impacto e INMs" sheetId="17" r:id="rId4"/>
    <sheet name="ResumoContagem" sheetId="18" state="hidden" r:id="rId5"/>
    <sheet name="Parâmetros" sheetId="20" state="hidden" r:id="rId6"/>
  </sheets>
  <definedNames>
    <definedName name="Detalhada">Parâmetros!$C$2:$C$8</definedName>
    <definedName name="Estimada">Parâmetros!$C$2:$C$8</definedName>
    <definedName name="Indicativa">Parâmetros!$C$13:$C$15</definedName>
    <definedName name="ListaDeflator">'Fatores de Impacto e INMs'!$A$3:$A$32</definedName>
    <definedName name="PFSimplificado">Parâmetros!$C$9:$C$12</definedName>
    <definedName name="TipoDeContagem">Parâmetros!$B$2:$B$6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4" i="1" l="1"/>
  <c r="AE5" i="2" l="1"/>
  <c r="AC5" i="2" s="1"/>
  <c r="AF5" i="2"/>
  <c r="AG5" i="2"/>
  <c r="AE6" i="2"/>
  <c r="AC6" i="2" s="1"/>
  <c r="AF6" i="2"/>
  <c r="AG6" i="2"/>
  <c r="AE7" i="2"/>
  <c r="AC7" i="2" s="1"/>
  <c r="AF7" i="2"/>
  <c r="AG7" i="2"/>
  <c r="AE8" i="2"/>
  <c r="AC8" i="2" s="1"/>
  <c r="AF8" i="2"/>
  <c r="AG8" i="2"/>
  <c r="AE9" i="2"/>
  <c r="AC9" i="2" s="1"/>
  <c r="AF9" i="2"/>
  <c r="AG9" i="2"/>
  <c r="AE10" i="2"/>
  <c r="AC10" i="2" s="1"/>
  <c r="AF10" i="2"/>
  <c r="AG10" i="2"/>
  <c r="AI10" i="2"/>
  <c r="AJ10" i="2" s="1"/>
  <c r="AE11" i="2"/>
  <c r="AC11" i="2" s="1"/>
  <c r="AF11" i="2"/>
  <c r="AG11" i="2"/>
  <c r="AI11" i="2"/>
  <c r="AJ11" i="2" s="1"/>
  <c r="AE12" i="2"/>
  <c r="AC12" i="2" s="1"/>
  <c r="AF12" i="2"/>
  <c r="AG12" i="2"/>
  <c r="AE13" i="2"/>
  <c r="AC13" i="2" s="1"/>
  <c r="AF13" i="2"/>
  <c r="AG13" i="2"/>
  <c r="AE14" i="2"/>
  <c r="AC14" i="2" s="1"/>
  <c r="AF14" i="2"/>
  <c r="AG14" i="2"/>
  <c r="AH14" i="2" s="1"/>
  <c r="AE15" i="2"/>
  <c r="AC15" i="2" s="1"/>
  <c r="AF15" i="2"/>
  <c r="AG15" i="2"/>
  <c r="AH15" i="2" s="1"/>
  <c r="AE16" i="2"/>
  <c r="AC16" i="2" s="1"/>
  <c r="AF16" i="2"/>
  <c r="AG16" i="2"/>
  <c r="AH16" i="2" s="1"/>
  <c r="AI16" i="2"/>
  <c r="AJ16" i="2" s="1"/>
  <c r="AE17" i="2"/>
  <c r="AC17" i="2" s="1"/>
  <c r="AF17" i="2"/>
  <c r="AG17" i="2"/>
  <c r="AH17" i="2" s="1"/>
  <c r="AE18" i="2"/>
  <c r="AC18" i="2" s="1"/>
  <c r="AF18" i="2"/>
  <c r="AG18" i="2"/>
  <c r="AH18" i="2" s="1"/>
  <c r="AI18" i="2"/>
  <c r="AJ18" i="2" s="1"/>
  <c r="AE19" i="2"/>
  <c r="AF19" i="2"/>
  <c r="AG19" i="2"/>
  <c r="AH19" i="2" s="1"/>
  <c r="AI19" i="2"/>
  <c r="AJ19" i="2" s="1"/>
  <c r="AE20" i="2"/>
  <c r="AF20" i="2"/>
  <c r="AG20" i="2"/>
  <c r="AH20" i="2" s="1"/>
  <c r="AI20" i="2"/>
  <c r="AJ20" i="2" s="1"/>
  <c r="AE21" i="2"/>
  <c r="AF21" i="2"/>
  <c r="AG21" i="2"/>
  <c r="AH21" i="2" s="1"/>
  <c r="AI21" i="2"/>
  <c r="AJ21" i="2" s="1"/>
  <c r="AE22" i="2"/>
  <c r="AF22" i="2"/>
  <c r="AG22" i="2"/>
  <c r="AH22" i="2" s="1"/>
  <c r="AI22" i="2"/>
  <c r="AJ22" i="2" s="1"/>
  <c r="AE23" i="2"/>
  <c r="AF23" i="2"/>
  <c r="AG23" i="2"/>
  <c r="AH23" i="2" s="1"/>
  <c r="AI23" i="2"/>
  <c r="AJ23" i="2" s="1"/>
  <c r="AE24" i="2"/>
  <c r="AF24" i="2"/>
  <c r="AG24" i="2"/>
  <c r="AH24" i="2" s="1"/>
  <c r="AI24" i="2"/>
  <c r="AJ24" i="2" s="1"/>
  <c r="AE25" i="2"/>
  <c r="AF25" i="2"/>
  <c r="AG25" i="2"/>
  <c r="AH25" i="2" s="1"/>
  <c r="AI25" i="2"/>
  <c r="AJ25" i="2" s="1"/>
  <c r="AE26" i="2"/>
  <c r="AF26" i="2"/>
  <c r="AG26" i="2"/>
  <c r="AH26" i="2" s="1"/>
  <c r="AI26" i="2"/>
  <c r="AJ26" i="2" s="1"/>
  <c r="AE27" i="2"/>
  <c r="AF27" i="2"/>
  <c r="AG27" i="2"/>
  <c r="AH27" i="2" s="1"/>
  <c r="AI27" i="2"/>
  <c r="AJ27" i="2" s="1"/>
  <c r="AE28" i="2"/>
  <c r="AF28" i="2"/>
  <c r="AG28" i="2"/>
  <c r="AH28" i="2" s="1"/>
  <c r="AI28" i="2"/>
  <c r="AJ28" i="2" s="1"/>
  <c r="AE29" i="2"/>
  <c r="AF29" i="2"/>
  <c r="AG29" i="2"/>
  <c r="AH29" i="2" s="1"/>
  <c r="AI29" i="2"/>
  <c r="AJ29" i="2" s="1"/>
  <c r="AE30" i="2"/>
  <c r="AF30" i="2"/>
  <c r="AG30" i="2"/>
  <c r="AH30" i="2" s="1"/>
  <c r="AI30" i="2"/>
  <c r="AJ30" i="2" s="1"/>
  <c r="AE31" i="2"/>
  <c r="AF31" i="2"/>
  <c r="AG31" i="2"/>
  <c r="AH31" i="2" s="1"/>
  <c r="AI31" i="2"/>
  <c r="AJ31" i="2" s="1"/>
  <c r="AE32" i="2"/>
  <c r="AF32" i="2"/>
  <c r="AG32" i="2"/>
  <c r="AH32" i="2" s="1"/>
  <c r="AI32" i="2"/>
  <c r="AJ32" i="2" s="1"/>
  <c r="AE33" i="2"/>
  <c r="AF33" i="2"/>
  <c r="AG33" i="2"/>
  <c r="AH33" i="2" s="1"/>
  <c r="AI33" i="2"/>
  <c r="AJ33" i="2" s="1"/>
  <c r="AE34" i="2"/>
  <c r="AF34" i="2"/>
  <c r="AG34" i="2"/>
  <c r="AH34" i="2" s="1"/>
  <c r="AI34" i="2"/>
  <c r="AJ34" i="2" s="1"/>
  <c r="AE35" i="2"/>
  <c r="AF35" i="2"/>
  <c r="AG35" i="2"/>
  <c r="AH35" i="2" s="1"/>
  <c r="AI35" i="2"/>
  <c r="AJ35" i="2" s="1"/>
  <c r="AE36" i="2"/>
  <c r="AF36" i="2"/>
  <c r="AG36" i="2"/>
  <c r="AH36" i="2" s="1"/>
  <c r="AI36" i="2"/>
  <c r="AJ36" i="2" s="1"/>
  <c r="AE37" i="2"/>
  <c r="AF37" i="2"/>
  <c r="AG37" i="2"/>
  <c r="AH37" i="2" s="1"/>
  <c r="AI37" i="2"/>
  <c r="AJ37" i="2" s="1"/>
  <c r="AE38" i="2"/>
  <c r="AF38" i="2"/>
  <c r="AG38" i="2"/>
  <c r="AH38" i="2" s="1"/>
  <c r="AI38" i="2"/>
  <c r="AJ38" i="2" s="1"/>
  <c r="AE39" i="2"/>
  <c r="AF39" i="2"/>
  <c r="AG39" i="2"/>
  <c r="AH39" i="2" s="1"/>
  <c r="AI39" i="2"/>
  <c r="AJ39" i="2" s="1"/>
  <c r="AE40" i="2"/>
  <c r="AF40" i="2"/>
  <c r="AG40" i="2"/>
  <c r="AH40" i="2" s="1"/>
  <c r="AI40" i="2"/>
  <c r="AJ40" i="2" s="1"/>
  <c r="AE41" i="2"/>
  <c r="AF41" i="2"/>
  <c r="AG41" i="2"/>
  <c r="AH41" i="2" s="1"/>
  <c r="AI41" i="2"/>
  <c r="AJ41" i="2" s="1"/>
  <c r="AE42" i="2"/>
  <c r="AF42" i="2"/>
  <c r="AG42" i="2"/>
  <c r="AH42" i="2" s="1"/>
  <c r="AI42" i="2"/>
  <c r="AJ42" i="2" s="1"/>
  <c r="AE43" i="2"/>
  <c r="AF43" i="2"/>
  <c r="AG43" i="2"/>
  <c r="AH43" i="2" s="1"/>
  <c r="AI43" i="2"/>
  <c r="AJ43" i="2" s="1"/>
  <c r="AE44" i="2"/>
  <c r="AF44" i="2"/>
  <c r="AG44" i="2"/>
  <c r="AH44" i="2" s="1"/>
  <c r="AI44" i="2"/>
  <c r="AJ44" i="2" s="1"/>
  <c r="AE45" i="2"/>
  <c r="AF45" i="2"/>
  <c r="AG45" i="2"/>
  <c r="AH45" i="2" s="1"/>
  <c r="AI45" i="2"/>
  <c r="AJ45" i="2" s="1"/>
  <c r="AE46" i="2"/>
  <c r="AF46" i="2"/>
  <c r="AG46" i="2"/>
  <c r="AH46" i="2" s="1"/>
  <c r="AI46" i="2"/>
  <c r="AJ46" i="2" s="1"/>
  <c r="AE47" i="2"/>
  <c r="AF47" i="2"/>
  <c r="AG47" i="2"/>
  <c r="AH47" i="2" s="1"/>
  <c r="AI47" i="2"/>
  <c r="AJ47" i="2" s="1"/>
  <c r="AE48" i="2"/>
  <c r="AF48" i="2"/>
  <c r="AG48" i="2"/>
  <c r="AH48" i="2" s="1"/>
  <c r="AI48" i="2"/>
  <c r="AJ48" i="2" s="1"/>
  <c r="AE49" i="2"/>
  <c r="AF49" i="2"/>
  <c r="AG49" i="2"/>
  <c r="AH49" i="2" s="1"/>
  <c r="AI49" i="2"/>
  <c r="AJ49" i="2" s="1"/>
  <c r="AE50" i="2"/>
  <c r="AF50" i="2"/>
  <c r="AG50" i="2"/>
  <c r="AH50" i="2" s="1"/>
  <c r="AI50" i="2"/>
  <c r="AJ50" i="2" s="1"/>
  <c r="AE51" i="2"/>
  <c r="AF51" i="2"/>
  <c r="AG51" i="2"/>
  <c r="AH51" i="2" s="1"/>
  <c r="AI51" i="2"/>
  <c r="AJ51" i="2" s="1"/>
  <c r="AE52" i="2"/>
  <c r="AF52" i="2"/>
  <c r="AG52" i="2"/>
  <c r="AH52" i="2" s="1"/>
  <c r="AI52" i="2"/>
  <c r="AJ52" i="2" s="1"/>
  <c r="AE53" i="2"/>
  <c r="AF53" i="2"/>
  <c r="AG53" i="2"/>
  <c r="AH53" i="2" s="1"/>
  <c r="AI53" i="2"/>
  <c r="AJ53" i="2" s="1"/>
  <c r="AE54" i="2"/>
  <c r="AF54" i="2"/>
  <c r="AG54" i="2"/>
  <c r="AH54" i="2" s="1"/>
  <c r="AI54" i="2"/>
  <c r="AJ54" i="2" s="1"/>
  <c r="AE55" i="2"/>
  <c r="AF55" i="2"/>
  <c r="AG55" i="2"/>
  <c r="AH55" i="2" s="1"/>
  <c r="AI55" i="2"/>
  <c r="AJ55" i="2" s="1"/>
  <c r="AE56" i="2"/>
  <c r="AF56" i="2"/>
  <c r="AG56" i="2"/>
  <c r="AH56" i="2" s="1"/>
  <c r="AI56" i="2"/>
  <c r="AJ56" i="2" s="1"/>
  <c r="AE57" i="2"/>
  <c r="AF57" i="2"/>
  <c r="AG57" i="2"/>
  <c r="AH57" i="2" s="1"/>
  <c r="AI57" i="2"/>
  <c r="AJ57" i="2" s="1"/>
  <c r="AE58" i="2"/>
  <c r="AF58" i="2"/>
  <c r="AG58" i="2"/>
  <c r="AH58" i="2" s="1"/>
  <c r="AI58" i="2"/>
  <c r="AJ58" i="2" s="1"/>
  <c r="AE59" i="2"/>
  <c r="AF59" i="2"/>
  <c r="AG59" i="2"/>
  <c r="AH59" i="2" s="1"/>
  <c r="AI59" i="2"/>
  <c r="AJ59" i="2" s="1"/>
  <c r="AE60" i="2"/>
  <c r="AF60" i="2"/>
  <c r="AG60" i="2"/>
  <c r="AH60" i="2" s="1"/>
  <c r="AI60" i="2"/>
  <c r="AJ60" i="2" s="1"/>
  <c r="AE61" i="2"/>
  <c r="AF61" i="2"/>
  <c r="AG61" i="2"/>
  <c r="AH61" i="2" s="1"/>
  <c r="AI61" i="2"/>
  <c r="AJ61" i="2" s="1"/>
  <c r="AE62" i="2"/>
  <c r="AF62" i="2"/>
  <c r="AG62" i="2"/>
  <c r="AH62" i="2" s="1"/>
  <c r="AI62" i="2"/>
  <c r="AJ62" i="2" s="1"/>
  <c r="AE63" i="2"/>
  <c r="AF63" i="2"/>
  <c r="AG63" i="2"/>
  <c r="AH63" i="2" s="1"/>
  <c r="AI63" i="2"/>
  <c r="AJ63" i="2" s="1"/>
  <c r="AE64" i="2"/>
  <c r="AF64" i="2"/>
  <c r="AG64" i="2"/>
  <c r="AH64" i="2" s="1"/>
  <c r="AI64" i="2"/>
  <c r="AJ64" i="2" s="1"/>
  <c r="AE65" i="2"/>
  <c r="AF65" i="2"/>
  <c r="AG65" i="2"/>
  <c r="AH65" i="2" s="1"/>
  <c r="AI65" i="2"/>
  <c r="AJ65" i="2" s="1"/>
  <c r="AE66" i="2"/>
  <c r="AF66" i="2"/>
  <c r="AG66" i="2"/>
  <c r="AH66" i="2" s="1"/>
  <c r="AI66" i="2"/>
  <c r="AJ66" i="2" s="1"/>
  <c r="AE67" i="2"/>
  <c r="AF67" i="2"/>
  <c r="AG67" i="2"/>
  <c r="AH67" i="2" s="1"/>
  <c r="AI67" i="2"/>
  <c r="AJ67" i="2" s="1"/>
  <c r="AE68" i="2"/>
  <c r="AF68" i="2"/>
  <c r="AG68" i="2"/>
  <c r="AH68" i="2" s="1"/>
  <c r="AI68" i="2"/>
  <c r="AJ68" i="2" s="1"/>
  <c r="AE69" i="2"/>
  <c r="AF69" i="2"/>
  <c r="AG69" i="2"/>
  <c r="AH69" i="2" s="1"/>
  <c r="AI69" i="2"/>
  <c r="AJ69" i="2" s="1"/>
  <c r="AE70" i="2"/>
  <c r="AF70" i="2"/>
  <c r="AG70" i="2"/>
  <c r="AH70" i="2" s="1"/>
  <c r="AI70" i="2"/>
  <c r="AJ70" i="2" s="1"/>
  <c r="AE71" i="2"/>
  <c r="AF71" i="2"/>
  <c r="AG71" i="2"/>
  <c r="AH71" i="2" s="1"/>
  <c r="AI71" i="2"/>
  <c r="AJ71" i="2" s="1"/>
  <c r="AE72" i="2"/>
  <c r="AF72" i="2"/>
  <c r="AG72" i="2"/>
  <c r="AH72" i="2" s="1"/>
  <c r="AI72" i="2"/>
  <c r="AJ72" i="2" s="1"/>
  <c r="AE73" i="2"/>
  <c r="AF73" i="2"/>
  <c r="AG73" i="2"/>
  <c r="AH73" i="2" s="1"/>
  <c r="AI73" i="2"/>
  <c r="AJ73" i="2" s="1"/>
  <c r="AE74" i="2"/>
  <c r="AF74" i="2"/>
  <c r="AG74" i="2"/>
  <c r="AH74" i="2" s="1"/>
  <c r="AI74" i="2"/>
  <c r="AJ74" i="2" s="1"/>
  <c r="AE75" i="2"/>
  <c r="AF75" i="2"/>
  <c r="AG75" i="2"/>
  <c r="AH75" i="2" s="1"/>
  <c r="AI75" i="2"/>
  <c r="AJ75" i="2" s="1"/>
  <c r="AE76" i="2"/>
  <c r="AF76" i="2"/>
  <c r="AG76" i="2"/>
  <c r="AH76" i="2" s="1"/>
  <c r="AI76" i="2"/>
  <c r="AJ76" i="2" s="1"/>
  <c r="AE77" i="2"/>
  <c r="AF77" i="2"/>
  <c r="AG77" i="2"/>
  <c r="AH77" i="2" s="1"/>
  <c r="AI77" i="2"/>
  <c r="AJ77" i="2" s="1"/>
  <c r="AE78" i="2"/>
  <c r="AF78" i="2"/>
  <c r="AG78" i="2"/>
  <c r="AH78" i="2" s="1"/>
  <c r="AI78" i="2"/>
  <c r="AJ78" i="2" s="1"/>
  <c r="AE79" i="2"/>
  <c r="AF79" i="2"/>
  <c r="AG79" i="2"/>
  <c r="AH79" i="2" s="1"/>
  <c r="AI79" i="2"/>
  <c r="AJ79" i="2" s="1"/>
  <c r="AE80" i="2"/>
  <c r="AF80" i="2"/>
  <c r="AG80" i="2"/>
  <c r="AH80" i="2" s="1"/>
  <c r="AI80" i="2"/>
  <c r="AJ80" i="2" s="1"/>
  <c r="AE81" i="2"/>
  <c r="AF81" i="2"/>
  <c r="AG81" i="2"/>
  <c r="AH81" i="2" s="1"/>
  <c r="AI81" i="2"/>
  <c r="AJ81" i="2" s="1"/>
  <c r="AE82" i="2"/>
  <c r="AF82" i="2"/>
  <c r="AG82" i="2"/>
  <c r="AH82" i="2" s="1"/>
  <c r="AI82" i="2"/>
  <c r="AJ82" i="2" s="1"/>
  <c r="AE83" i="2"/>
  <c r="AF83" i="2"/>
  <c r="AG83" i="2"/>
  <c r="AH83" i="2" s="1"/>
  <c r="AI83" i="2"/>
  <c r="AJ83" i="2" s="1"/>
  <c r="AE84" i="2"/>
  <c r="AF84" i="2"/>
  <c r="AG84" i="2"/>
  <c r="AH84" i="2" s="1"/>
  <c r="AI84" i="2"/>
  <c r="AJ84" i="2" s="1"/>
  <c r="AE85" i="2"/>
  <c r="AF85" i="2"/>
  <c r="AG85" i="2"/>
  <c r="AH85" i="2" s="1"/>
  <c r="AI85" i="2"/>
  <c r="AJ85" i="2" s="1"/>
  <c r="AE86" i="2"/>
  <c r="AF86" i="2"/>
  <c r="AG86" i="2"/>
  <c r="AH86" i="2" s="1"/>
  <c r="AI86" i="2"/>
  <c r="AJ86" i="2" s="1"/>
  <c r="AE87" i="2"/>
  <c r="AF87" i="2"/>
  <c r="AG87" i="2"/>
  <c r="AH87" i="2" s="1"/>
  <c r="AI87" i="2"/>
  <c r="AJ87" i="2" s="1"/>
  <c r="AE88" i="2"/>
  <c r="AC88" i="2" s="1"/>
  <c r="AF88" i="2"/>
  <c r="AG88" i="2"/>
  <c r="AH88" i="2" s="1"/>
  <c r="AI88" i="2"/>
  <c r="AJ88" i="2" s="1"/>
  <c r="AE89" i="2"/>
  <c r="AF89" i="2"/>
  <c r="AG89" i="2"/>
  <c r="AH89" i="2" s="1"/>
  <c r="AI89" i="2"/>
  <c r="AJ89" i="2" s="1"/>
  <c r="AE90" i="2"/>
  <c r="AC90" i="2" s="1"/>
  <c r="AF90" i="2"/>
  <c r="AG90" i="2"/>
  <c r="AH90" i="2" s="1"/>
  <c r="AI90" i="2"/>
  <c r="AJ90" i="2" s="1"/>
  <c r="AE91" i="2"/>
  <c r="AC91" i="2" s="1"/>
  <c r="AF91" i="2"/>
  <c r="AG91" i="2"/>
  <c r="AH91" i="2" s="1"/>
  <c r="AI91" i="2"/>
  <c r="AJ91" i="2" s="1"/>
  <c r="AE92" i="2"/>
  <c r="AF92" i="2"/>
  <c r="AG92" i="2"/>
  <c r="AH92" i="2" s="1"/>
  <c r="AI92" i="2"/>
  <c r="AJ92" i="2" s="1"/>
  <c r="AE93" i="2"/>
  <c r="AC93" i="2" s="1"/>
  <c r="AF93" i="2"/>
  <c r="AG93" i="2"/>
  <c r="AH93" i="2" s="1"/>
  <c r="AI93" i="2"/>
  <c r="AJ93" i="2" s="1"/>
  <c r="AE94" i="2"/>
  <c r="AC94" i="2" s="1"/>
  <c r="AF94" i="2"/>
  <c r="AG94" i="2"/>
  <c r="AH94" i="2" s="1"/>
  <c r="AI94" i="2"/>
  <c r="AJ94" i="2" s="1"/>
  <c r="AE95" i="2"/>
  <c r="AC95" i="2" s="1"/>
  <c r="AF95" i="2"/>
  <c r="AG95" i="2"/>
  <c r="AH95" i="2" s="1"/>
  <c r="AI95" i="2"/>
  <c r="AJ95" i="2" s="1"/>
  <c r="AE96" i="2"/>
  <c r="AC96" i="2" s="1"/>
  <c r="AF96" i="2"/>
  <c r="AG96" i="2"/>
  <c r="AH96" i="2" s="1"/>
  <c r="AI96" i="2"/>
  <c r="AJ96" i="2" s="1"/>
  <c r="AE97" i="2"/>
  <c r="AC97" i="2" s="1"/>
  <c r="AF97" i="2"/>
  <c r="AG97" i="2"/>
  <c r="AH97" i="2" s="1"/>
  <c r="AI97" i="2"/>
  <c r="AJ97" i="2" s="1"/>
  <c r="AE98" i="2"/>
  <c r="AC98" i="2" s="1"/>
  <c r="AF98" i="2"/>
  <c r="AG98" i="2"/>
  <c r="AH98" i="2" s="1"/>
  <c r="AI98" i="2"/>
  <c r="AJ98" i="2" s="1"/>
  <c r="AE99" i="2"/>
  <c r="AC99" i="2" s="1"/>
  <c r="AF99" i="2"/>
  <c r="AG99" i="2"/>
  <c r="AH99" i="2" s="1"/>
  <c r="AI99" i="2"/>
  <c r="AJ99" i="2" s="1"/>
  <c r="AE100" i="2"/>
  <c r="AC100" i="2" s="1"/>
  <c r="AF100" i="2"/>
  <c r="AG100" i="2"/>
  <c r="AH100" i="2" s="1"/>
  <c r="AI100" i="2"/>
  <c r="AJ100" i="2" s="1"/>
  <c r="AE101" i="2"/>
  <c r="AC101" i="2" s="1"/>
  <c r="AF101" i="2"/>
  <c r="AG101" i="2"/>
  <c r="AH101" i="2" s="1"/>
  <c r="AI101" i="2"/>
  <c r="AJ101" i="2" s="1"/>
  <c r="AE102" i="2"/>
  <c r="AC102" i="2" s="1"/>
  <c r="AF102" i="2"/>
  <c r="AG102" i="2"/>
  <c r="AH102" i="2" s="1"/>
  <c r="AI102" i="2"/>
  <c r="AJ102" i="2" s="1"/>
  <c r="AE103" i="2"/>
  <c r="AC103" i="2" s="1"/>
  <c r="AF103" i="2"/>
  <c r="AG103" i="2"/>
  <c r="AH103" i="2" s="1"/>
  <c r="AI103" i="2"/>
  <c r="AJ103" i="2" s="1"/>
  <c r="AE104" i="2"/>
  <c r="AC104" i="2" s="1"/>
  <c r="AF104" i="2"/>
  <c r="AG104" i="2"/>
  <c r="AH104" i="2" s="1"/>
  <c r="AI104" i="2"/>
  <c r="AJ104" i="2" s="1"/>
  <c r="AE105" i="2"/>
  <c r="AC105" i="2" s="1"/>
  <c r="AF105" i="2"/>
  <c r="AG105" i="2"/>
  <c r="AH105" i="2" s="1"/>
  <c r="AI105" i="2"/>
  <c r="AJ105" i="2" s="1"/>
  <c r="AE106" i="2"/>
  <c r="AC106" i="2" s="1"/>
  <c r="AF106" i="2"/>
  <c r="AG106" i="2"/>
  <c r="AH106" i="2" s="1"/>
  <c r="AI106" i="2"/>
  <c r="AJ106" i="2" s="1"/>
  <c r="AE107" i="2"/>
  <c r="AC107" i="2" s="1"/>
  <c r="AF107" i="2"/>
  <c r="AG107" i="2"/>
  <c r="AH107" i="2" s="1"/>
  <c r="AI107" i="2"/>
  <c r="AJ107" i="2" s="1"/>
  <c r="AE108" i="2"/>
  <c r="AC108" i="2" s="1"/>
  <c r="AF108" i="2"/>
  <c r="AG108" i="2"/>
  <c r="AH108" i="2" s="1"/>
  <c r="AI108" i="2"/>
  <c r="AJ108" i="2" s="1"/>
  <c r="AE109" i="2"/>
  <c r="AC109" i="2" s="1"/>
  <c r="AF109" i="2"/>
  <c r="AG109" i="2"/>
  <c r="AH109" i="2" s="1"/>
  <c r="AI109" i="2"/>
  <c r="AJ109" i="2" s="1"/>
  <c r="AE110" i="2"/>
  <c r="AC110" i="2" s="1"/>
  <c r="AF110" i="2"/>
  <c r="AG110" i="2"/>
  <c r="AH110" i="2" s="1"/>
  <c r="AI110" i="2"/>
  <c r="AJ110" i="2" s="1"/>
  <c r="AE111" i="2"/>
  <c r="AC111" i="2" s="1"/>
  <c r="AF111" i="2"/>
  <c r="AG111" i="2"/>
  <c r="AH111" i="2" s="1"/>
  <c r="AI111" i="2"/>
  <c r="AJ111" i="2" s="1"/>
  <c r="AE112" i="2"/>
  <c r="AC112" i="2" s="1"/>
  <c r="AF112" i="2"/>
  <c r="AG112" i="2"/>
  <c r="AH112" i="2" s="1"/>
  <c r="AI112" i="2"/>
  <c r="AJ112" i="2" s="1"/>
  <c r="AE113" i="2"/>
  <c r="AC113" i="2" s="1"/>
  <c r="AF113" i="2"/>
  <c r="AG113" i="2"/>
  <c r="AH113" i="2" s="1"/>
  <c r="AI113" i="2"/>
  <c r="AJ113" i="2" s="1"/>
  <c r="AE114" i="2"/>
  <c r="AC114" i="2" s="1"/>
  <c r="AF114" i="2"/>
  <c r="AG114" i="2"/>
  <c r="AH114" i="2" s="1"/>
  <c r="AI114" i="2"/>
  <c r="AJ114" i="2" s="1"/>
  <c r="AE115" i="2"/>
  <c r="AC115" i="2" s="1"/>
  <c r="AF115" i="2"/>
  <c r="AG115" i="2"/>
  <c r="AH115" i="2" s="1"/>
  <c r="AI115" i="2"/>
  <c r="AJ115" i="2" s="1"/>
  <c r="AE116" i="2"/>
  <c r="AC116" i="2" s="1"/>
  <c r="AF116" i="2"/>
  <c r="AG116" i="2"/>
  <c r="AH116" i="2" s="1"/>
  <c r="AI116" i="2"/>
  <c r="AJ116" i="2" s="1"/>
  <c r="AE117" i="2"/>
  <c r="AC117" i="2" s="1"/>
  <c r="AF117" i="2"/>
  <c r="AG117" i="2"/>
  <c r="AH117" i="2" s="1"/>
  <c r="AI117" i="2"/>
  <c r="AJ117" i="2" s="1"/>
  <c r="AE118" i="2"/>
  <c r="AC118" i="2" s="1"/>
  <c r="AF118" i="2"/>
  <c r="AG118" i="2"/>
  <c r="AH118" i="2" s="1"/>
  <c r="AI118" i="2"/>
  <c r="AJ118" i="2" s="1"/>
  <c r="AE119" i="2"/>
  <c r="AC119" i="2" s="1"/>
  <c r="AF119" i="2"/>
  <c r="AG119" i="2"/>
  <c r="AH119" i="2" s="1"/>
  <c r="AI119" i="2"/>
  <c r="AJ119" i="2" s="1"/>
  <c r="AE120" i="2"/>
  <c r="AC120" i="2" s="1"/>
  <c r="AF120" i="2"/>
  <c r="AG120" i="2"/>
  <c r="AH120" i="2" s="1"/>
  <c r="AI120" i="2"/>
  <c r="AJ120" i="2" s="1"/>
  <c r="AE121" i="2"/>
  <c r="AC121" i="2" s="1"/>
  <c r="AF121" i="2"/>
  <c r="AG121" i="2"/>
  <c r="AH121" i="2" s="1"/>
  <c r="AI121" i="2"/>
  <c r="AJ121" i="2" s="1"/>
  <c r="AE122" i="2"/>
  <c r="AC122" i="2" s="1"/>
  <c r="AF122" i="2"/>
  <c r="AG122" i="2"/>
  <c r="AH122" i="2" s="1"/>
  <c r="AI122" i="2"/>
  <c r="AJ122" i="2" s="1"/>
  <c r="AE123" i="2"/>
  <c r="AC123" i="2" s="1"/>
  <c r="AF123" i="2"/>
  <c r="AG123" i="2"/>
  <c r="AH123" i="2" s="1"/>
  <c r="AI123" i="2"/>
  <c r="AJ123" i="2" s="1"/>
  <c r="AE124" i="2"/>
  <c r="AC124" i="2" s="1"/>
  <c r="AF124" i="2"/>
  <c r="AG124" i="2"/>
  <c r="AH124" i="2" s="1"/>
  <c r="AI124" i="2"/>
  <c r="AJ124" i="2" s="1"/>
  <c r="AE125" i="2"/>
  <c r="AC125" i="2" s="1"/>
  <c r="AF125" i="2"/>
  <c r="AG125" i="2"/>
  <c r="AH125" i="2" s="1"/>
  <c r="AI125" i="2"/>
  <c r="AJ125" i="2" s="1"/>
  <c r="AE126" i="2"/>
  <c r="AC126" i="2" s="1"/>
  <c r="AF126" i="2"/>
  <c r="AG126" i="2"/>
  <c r="AH126" i="2" s="1"/>
  <c r="AI126" i="2"/>
  <c r="AJ126" i="2" s="1"/>
  <c r="AE127" i="2"/>
  <c r="AC127" i="2" s="1"/>
  <c r="AF127" i="2"/>
  <c r="AG127" i="2"/>
  <c r="AH127" i="2" s="1"/>
  <c r="AI127" i="2"/>
  <c r="AJ127" i="2" s="1"/>
  <c r="AE128" i="2"/>
  <c r="AC128" i="2" s="1"/>
  <c r="AF128" i="2"/>
  <c r="AG128" i="2"/>
  <c r="AH128" i="2" s="1"/>
  <c r="AI128" i="2"/>
  <c r="AJ128" i="2" s="1"/>
  <c r="AE129" i="2"/>
  <c r="AC129" i="2" s="1"/>
  <c r="AF129" i="2"/>
  <c r="AG129" i="2"/>
  <c r="AH129" i="2" s="1"/>
  <c r="AI129" i="2"/>
  <c r="AJ129" i="2" s="1"/>
  <c r="AE130" i="2"/>
  <c r="AC130" i="2" s="1"/>
  <c r="AF130" i="2"/>
  <c r="AG130" i="2"/>
  <c r="AH130" i="2" s="1"/>
  <c r="AI130" i="2"/>
  <c r="AJ130" i="2" s="1"/>
  <c r="AE131" i="2"/>
  <c r="AC131" i="2" s="1"/>
  <c r="AF131" i="2"/>
  <c r="AG131" i="2"/>
  <c r="AH131" i="2" s="1"/>
  <c r="AI131" i="2"/>
  <c r="AJ131" i="2" s="1"/>
  <c r="AE132" i="2"/>
  <c r="AC132" i="2" s="1"/>
  <c r="AF132" i="2"/>
  <c r="AG132" i="2"/>
  <c r="AH132" i="2" s="1"/>
  <c r="AI132" i="2"/>
  <c r="AJ132" i="2" s="1"/>
  <c r="AE133" i="2"/>
  <c r="AC133" i="2" s="1"/>
  <c r="AF133" i="2"/>
  <c r="AG133" i="2"/>
  <c r="AH133" i="2" s="1"/>
  <c r="AI133" i="2"/>
  <c r="AJ133" i="2" s="1"/>
  <c r="AE134" i="2"/>
  <c r="AC134" i="2" s="1"/>
  <c r="AF134" i="2"/>
  <c r="AG134" i="2"/>
  <c r="AH134" i="2" s="1"/>
  <c r="AI134" i="2"/>
  <c r="AJ134" i="2" s="1"/>
  <c r="AE135" i="2"/>
  <c r="AC135" i="2" s="1"/>
  <c r="AF135" i="2"/>
  <c r="AG135" i="2"/>
  <c r="AH135" i="2" s="1"/>
  <c r="AI135" i="2"/>
  <c r="AJ135" i="2" s="1"/>
  <c r="AE136" i="2"/>
  <c r="AC136" i="2" s="1"/>
  <c r="AF136" i="2"/>
  <c r="AG136" i="2"/>
  <c r="AH136" i="2" s="1"/>
  <c r="AI136" i="2"/>
  <c r="AJ136" i="2" s="1"/>
  <c r="AE137" i="2"/>
  <c r="AC137" i="2" s="1"/>
  <c r="AF137" i="2"/>
  <c r="AG137" i="2"/>
  <c r="AH137" i="2" s="1"/>
  <c r="AI137" i="2"/>
  <c r="AJ137" i="2" s="1"/>
  <c r="AE138" i="2"/>
  <c r="AC138" i="2" s="1"/>
  <c r="AF138" i="2"/>
  <c r="AG138" i="2"/>
  <c r="AH138" i="2" s="1"/>
  <c r="AI138" i="2"/>
  <c r="AJ138" i="2" s="1"/>
  <c r="AE139" i="2"/>
  <c r="AC139" i="2" s="1"/>
  <c r="AF139" i="2"/>
  <c r="AG139" i="2"/>
  <c r="AH139" i="2" s="1"/>
  <c r="AI139" i="2"/>
  <c r="AJ139" i="2" s="1"/>
  <c r="AE140" i="2"/>
  <c r="AC140" i="2" s="1"/>
  <c r="AF140" i="2"/>
  <c r="AG140" i="2"/>
  <c r="AH140" i="2" s="1"/>
  <c r="AI140" i="2"/>
  <c r="AJ140" i="2" s="1"/>
  <c r="AE141" i="2"/>
  <c r="AC141" i="2" s="1"/>
  <c r="AF141" i="2"/>
  <c r="AG141" i="2"/>
  <c r="AH141" i="2" s="1"/>
  <c r="AI141" i="2"/>
  <c r="AJ141" i="2" s="1"/>
  <c r="AE142" i="2"/>
  <c r="AC142" i="2" s="1"/>
  <c r="AF142" i="2"/>
  <c r="AG142" i="2"/>
  <c r="AH142" i="2" s="1"/>
  <c r="AI142" i="2"/>
  <c r="AJ142" i="2" s="1"/>
  <c r="AE143" i="2"/>
  <c r="AC143" i="2" s="1"/>
  <c r="AF143" i="2"/>
  <c r="AG143" i="2"/>
  <c r="AH143" i="2" s="1"/>
  <c r="AI143" i="2"/>
  <c r="AJ143" i="2" s="1"/>
  <c r="AE144" i="2"/>
  <c r="AC144" i="2" s="1"/>
  <c r="AF144" i="2"/>
  <c r="AG144" i="2"/>
  <c r="AH144" i="2" s="1"/>
  <c r="AI144" i="2"/>
  <c r="AJ144" i="2" s="1"/>
  <c r="AE145" i="2"/>
  <c r="AC145" i="2" s="1"/>
  <c r="AF145" i="2"/>
  <c r="AG145" i="2"/>
  <c r="AH145" i="2" s="1"/>
  <c r="AI145" i="2"/>
  <c r="AJ145" i="2" s="1"/>
  <c r="AE146" i="2"/>
  <c r="AC146" i="2" s="1"/>
  <c r="AF146" i="2"/>
  <c r="AG146" i="2"/>
  <c r="AH146" i="2" s="1"/>
  <c r="AI146" i="2"/>
  <c r="AJ146" i="2" s="1"/>
  <c r="AE147" i="2"/>
  <c r="AC147" i="2" s="1"/>
  <c r="AF147" i="2"/>
  <c r="AG147" i="2"/>
  <c r="AH147" i="2" s="1"/>
  <c r="AI147" i="2"/>
  <c r="AJ147" i="2" s="1"/>
  <c r="AE148" i="2"/>
  <c r="AC148" i="2" s="1"/>
  <c r="AF148" i="2"/>
  <c r="AG148" i="2"/>
  <c r="AH148" i="2" s="1"/>
  <c r="AI148" i="2"/>
  <c r="AJ148" i="2" s="1"/>
  <c r="AE149" i="2"/>
  <c r="AC149" i="2" s="1"/>
  <c r="AF149" i="2"/>
  <c r="AG149" i="2"/>
  <c r="AH149" i="2" s="1"/>
  <c r="AI149" i="2"/>
  <c r="AJ149" i="2" s="1"/>
  <c r="AE150" i="2"/>
  <c r="AC150" i="2" s="1"/>
  <c r="AF150" i="2"/>
  <c r="AG150" i="2"/>
  <c r="AH150" i="2" s="1"/>
  <c r="AI150" i="2"/>
  <c r="AJ150" i="2" s="1"/>
  <c r="AE151" i="2"/>
  <c r="AC151" i="2" s="1"/>
  <c r="AF151" i="2"/>
  <c r="AG151" i="2"/>
  <c r="AH151" i="2" s="1"/>
  <c r="AI151" i="2"/>
  <c r="AJ151" i="2" s="1"/>
  <c r="AE152" i="2"/>
  <c r="AC152" i="2" s="1"/>
  <c r="AF152" i="2"/>
  <c r="AG152" i="2"/>
  <c r="AH152" i="2" s="1"/>
  <c r="AI152" i="2"/>
  <c r="AJ152" i="2" s="1"/>
  <c r="AE153" i="2"/>
  <c r="AC153" i="2" s="1"/>
  <c r="AF153" i="2"/>
  <c r="AG153" i="2"/>
  <c r="AH153" i="2" s="1"/>
  <c r="AI153" i="2"/>
  <c r="AJ153" i="2" s="1"/>
  <c r="AE154" i="2"/>
  <c r="AC154" i="2" s="1"/>
  <c r="AF154" i="2"/>
  <c r="AG154" i="2"/>
  <c r="AH154" i="2" s="1"/>
  <c r="AI154" i="2"/>
  <c r="AJ154" i="2" s="1"/>
  <c r="AE155" i="2"/>
  <c r="AC155" i="2" s="1"/>
  <c r="AF155" i="2"/>
  <c r="AG155" i="2"/>
  <c r="AH155" i="2" s="1"/>
  <c r="AI155" i="2"/>
  <c r="AJ155" i="2" s="1"/>
  <c r="AE156" i="2"/>
  <c r="AC156" i="2" s="1"/>
  <c r="AF156" i="2"/>
  <c r="AG156" i="2"/>
  <c r="AH156" i="2" s="1"/>
  <c r="AI156" i="2"/>
  <c r="AJ156" i="2" s="1"/>
  <c r="AE157" i="2"/>
  <c r="AC157" i="2" s="1"/>
  <c r="AF157" i="2"/>
  <c r="AG157" i="2"/>
  <c r="AH157" i="2" s="1"/>
  <c r="AI157" i="2"/>
  <c r="AJ157" i="2" s="1"/>
  <c r="AE158" i="2"/>
  <c r="AC158" i="2" s="1"/>
  <c r="AF158" i="2"/>
  <c r="AG158" i="2"/>
  <c r="AH158" i="2" s="1"/>
  <c r="AI158" i="2"/>
  <c r="AJ158" i="2" s="1"/>
  <c r="AE159" i="2"/>
  <c r="AC159" i="2" s="1"/>
  <c r="AF159" i="2"/>
  <c r="AG159" i="2"/>
  <c r="AH159" i="2" s="1"/>
  <c r="AI159" i="2"/>
  <c r="AJ159" i="2" s="1"/>
  <c r="AE160" i="2"/>
  <c r="AC160" i="2" s="1"/>
  <c r="AF160" i="2"/>
  <c r="AG160" i="2"/>
  <c r="AH160" i="2" s="1"/>
  <c r="AI160" i="2"/>
  <c r="AJ160" i="2" s="1"/>
  <c r="AE161" i="2"/>
  <c r="AC161" i="2" s="1"/>
  <c r="AF161" i="2"/>
  <c r="AG161" i="2"/>
  <c r="AH161" i="2" s="1"/>
  <c r="AI161" i="2"/>
  <c r="AJ161" i="2" s="1"/>
  <c r="AE162" i="2"/>
  <c r="AC162" i="2" s="1"/>
  <c r="AF162" i="2"/>
  <c r="AG162" i="2"/>
  <c r="AH162" i="2" s="1"/>
  <c r="AI162" i="2"/>
  <c r="AJ162" i="2" s="1"/>
  <c r="AE163" i="2"/>
  <c r="AC163" i="2" s="1"/>
  <c r="AF163" i="2"/>
  <c r="AG163" i="2"/>
  <c r="AH163" i="2" s="1"/>
  <c r="AI163" i="2"/>
  <c r="AJ163" i="2" s="1"/>
  <c r="AE164" i="2"/>
  <c r="AC164" i="2" s="1"/>
  <c r="AF164" i="2"/>
  <c r="AG164" i="2"/>
  <c r="AH164" i="2" s="1"/>
  <c r="AI164" i="2"/>
  <c r="AJ164" i="2" s="1"/>
  <c r="AE165" i="2"/>
  <c r="AC165" i="2" s="1"/>
  <c r="AF165" i="2"/>
  <c r="AG165" i="2"/>
  <c r="AH165" i="2" s="1"/>
  <c r="AI165" i="2"/>
  <c r="AJ165" i="2" s="1"/>
  <c r="AE166" i="2"/>
  <c r="AC166" i="2" s="1"/>
  <c r="AF166" i="2"/>
  <c r="AG166" i="2"/>
  <c r="AH166" i="2" s="1"/>
  <c r="AI166" i="2"/>
  <c r="AJ166" i="2" s="1"/>
  <c r="AE167" i="2"/>
  <c r="AC167" i="2" s="1"/>
  <c r="AF167" i="2"/>
  <c r="AG167" i="2"/>
  <c r="AH167" i="2" s="1"/>
  <c r="AI167" i="2"/>
  <c r="AJ167" i="2" s="1"/>
  <c r="AE168" i="2"/>
  <c r="AC168" i="2" s="1"/>
  <c r="AF168" i="2"/>
  <c r="AG168" i="2"/>
  <c r="AH168" i="2" s="1"/>
  <c r="AI168" i="2"/>
  <c r="AJ168" i="2" s="1"/>
  <c r="AE169" i="2"/>
  <c r="AC169" i="2" s="1"/>
  <c r="AF169" i="2"/>
  <c r="AG169" i="2"/>
  <c r="AH169" i="2" s="1"/>
  <c r="AI169" i="2"/>
  <c r="AJ169" i="2" s="1"/>
  <c r="AE170" i="2"/>
  <c r="AC170" i="2" s="1"/>
  <c r="AF170" i="2"/>
  <c r="AG170" i="2"/>
  <c r="AH170" i="2" s="1"/>
  <c r="AI170" i="2"/>
  <c r="AJ170" i="2" s="1"/>
  <c r="AE171" i="2"/>
  <c r="AC171" i="2" s="1"/>
  <c r="AF171" i="2"/>
  <c r="AG171" i="2"/>
  <c r="AH171" i="2" s="1"/>
  <c r="AI171" i="2"/>
  <c r="AJ171" i="2" s="1"/>
  <c r="AE172" i="2"/>
  <c r="AC172" i="2" s="1"/>
  <c r="AF172" i="2"/>
  <c r="AG172" i="2"/>
  <c r="AH172" i="2" s="1"/>
  <c r="AI172" i="2"/>
  <c r="AJ172" i="2" s="1"/>
  <c r="AE173" i="2"/>
  <c r="AC173" i="2" s="1"/>
  <c r="AF173" i="2"/>
  <c r="AG173" i="2"/>
  <c r="AH173" i="2" s="1"/>
  <c r="AI173" i="2"/>
  <c r="AJ173" i="2" s="1"/>
  <c r="AE174" i="2"/>
  <c r="AC174" i="2" s="1"/>
  <c r="AF174" i="2"/>
  <c r="AG174" i="2"/>
  <c r="AH174" i="2" s="1"/>
  <c r="AI174" i="2"/>
  <c r="AJ174" i="2" s="1"/>
  <c r="AE175" i="2"/>
  <c r="AC175" i="2" s="1"/>
  <c r="AF175" i="2"/>
  <c r="AG175" i="2"/>
  <c r="AH175" i="2" s="1"/>
  <c r="AI175" i="2"/>
  <c r="AJ175" i="2" s="1"/>
  <c r="AE176" i="2"/>
  <c r="AC176" i="2" s="1"/>
  <c r="AF176" i="2"/>
  <c r="AG176" i="2"/>
  <c r="AH176" i="2" s="1"/>
  <c r="AI176" i="2"/>
  <c r="AJ176" i="2" s="1"/>
  <c r="AE177" i="2"/>
  <c r="AC177" i="2" s="1"/>
  <c r="AF177" i="2"/>
  <c r="AG177" i="2"/>
  <c r="AH177" i="2" s="1"/>
  <c r="AI177" i="2"/>
  <c r="AJ177" i="2" s="1"/>
  <c r="AE178" i="2"/>
  <c r="AC178" i="2" s="1"/>
  <c r="AF178" i="2"/>
  <c r="AG178" i="2"/>
  <c r="AH178" i="2" s="1"/>
  <c r="AI178" i="2"/>
  <c r="AJ178" i="2" s="1"/>
  <c r="AE179" i="2"/>
  <c r="AC179" i="2" s="1"/>
  <c r="AF179" i="2"/>
  <c r="AG179" i="2"/>
  <c r="AH179" i="2" s="1"/>
  <c r="AI179" i="2"/>
  <c r="AJ179" i="2" s="1"/>
  <c r="AE180" i="2"/>
  <c r="AC180" i="2" s="1"/>
  <c r="AF180" i="2"/>
  <c r="AG180" i="2"/>
  <c r="AH180" i="2" s="1"/>
  <c r="AI180" i="2"/>
  <c r="AJ180" i="2" s="1"/>
  <c r="AE181" i="2"/>
  <c r="AC181" i="2" s="1"/>
  <c r="AF181" i="2"/>
  <c r="AG181" i="2"/>
  <c r="AH181" i="2" s="1"/>
  <c r="AI181" i="2"/>
  <c r="AJ181" i="2" s="1"/>
  <c r="AE182" i="2"/>
  <c r="AC182" i="2" s="1"/>
  <c r="AF182" i="2"/>
  <c r="AG182" i="2"/>
  <c r="AH182" i="2" s="1"/>
  <c r="AI182" i="2"/>
  <c r="AJ182" i="2" s="1"/>
  <c r="AE183" i="2"/>
  <c r="AC183" i="2" s="1"/>
  <c r="AF183" i="2"/>
  <c r="AG183" i="2"/>
  <c r="AH183" i="2" s="1"/>
  <c r="AI183" i="2"/>
  <c r="AJ183" i="2" s="1"/>
  <c r="AE184" i="2"/>
  <c r="AC184" i="2" s="1"/>
  <c r="AF184" i="2"/>
  <c r="AG184" i="2"/>
  <c r="AH184" i="2" s="1"/>
  <c r="AI184" i="2"/>
  <c r="AJ184" i="2" s="1"/>
  <c r="AE185" i="2"/>
  <c r="AC185" i="2" s="1"/>
  <c r="AF185" i="2"/>
  <c r="AG185" i="2"/>
  <c r="AH185" i="2" s="1"/>
  <c r="AI185" i="2"/>
  <c r="AJ185" i="2" s="1"/>
  <c r="AE186" i="2"/>
  <c r="AC186" i="2" s="1"/>
  <c r="AF186" i="2"/>
  <c r="AG186" i="2"/>
  <c r="AH186" i="2" s="1"/>
  <c r="AI186" i="2"/>
  <c r="AJ186" i="2" s="1"/>
  <c r="AE187" i="2"/>
  <c r="AC187" i="2" s="1"/>
  <c r="AF187" i="2"/>
  <c r="AG187" i="2"/>
  <c r="AH187" i="2" s="1"/>
  <c r="AI187" i="2"/>
  <c r="AJ187" i="2" s="1"/>
  <c r="AE188" i="2"/>
  <c r="AC188" i="2" s="1"/>
  <c r="AF188" i="2"/>
  <c r="AG188" i="2"/>
  <c r="AH188" i="2" s="1"/>
  <c r="AI188" i="2"/>
  <c r="AJ188" i="2" s="1"/>
  <c r="AE189" i="2"/>
  <c r="AC189" i="2" s="1"/>
  <c r="AF189" i="2"/>
  <c r="AG189" i="2"/>
  <c r="AH189" i="2" s="1"/>
  <c r="AI189" i="2"/>
  <c r="AJ189" i="2" s="1"/>
  <c r="AE190" i="2"/>
  <c r="AC190" i="2" s="1"/>
  <c r="AF190" i="2"/>
  <c r="AG190" i="2"/>
  <c r="AH190" i="2" s="1"/>
  <c r="AI190" i="2"/>
  <c r="AJ190" i="2" s="1"/>
  <c r="AE191" i="2"/>
  <c r="AC191" i="2" s="1"/>
  <c r="AF191" i="2"/>
  <c r="AG191" i="2"/>
  <c r="AH191" i="2" s="1"/>
  <c r="AI191" i="2"/>
  <c r="AJ191" i="2" s="1"/>
  <c r="AE192" i="2"/>
  <c r="AC192" i="2" s="1"/>
  <c r="AF192" i="2"/>
  <c r="AG192" i="2"/>
  <c r="AH192" i="2" s="1"/>
  <c r="AI192" i="2"/>
  <c r="AJ192" i="2" s="1"/>
  <c r="AE193" i="2"/>
  <c r="AC193" i="2" s="1"/>
  <c r="AF193" i="2"/>
  <c r="AG193" i="2"/>
  <c r="AH193" i="2" s="1"/>
  <c r="AI193" i="2"/>
  <c r="AJ193" i="2" s="1"/>
  <c r="AE194" i="2"/>
  <c r="AC194" i="2" s="1"/>
  <c r="AF194" i="2"/>
  <c r="AG194" i="2"/>
  <c r="AH194" i="2" s="1"/>
  <c r="AI194" i="2"/>
  <c r="AJ194" i="2" s="1"/>
  <c r="AE195" i="2"/>
  <c r="AC195" i="2" s="1"/>
  <c r="AF195" i="2"/>
  <c r="AG195" i="2"/>
  <c r="AH195" i="2" s="1"/>
  <c r="AI195" i="2"/>
  <c r="AJ195" i="2" s="1"/>
  <c r="AE196" i="2"/>
  <c r="AC196" i="2" s="1"/>
  <c r="AF196" i="2"/>
  <c r="AG196" i="2"/>
  <c r="AH196" i="2" s="1"/>
  <c r="AI196" i="2"/>
  <c r="AJ196" i="2" s="1"/>
  <c r="AE197" i="2"/>
  <c r="AC197" i="2" s="1"/>
  <c r="AF197" i="2"/>
  <c r="AG197" i="2"/>
  <c r="AH197" i="2" s="1"/>
  <c r="AI197" i="2"/>
  <c r="AJ197" i="2" s="1"/>
  <c r="AE198" i="2"/>
  <c r="AC198" i="2" s="1"/>
  <c r="AF198" i="2"/>
  <c r="AG198" i="2"/>
  <c r="AH198" i="2" s="1"/>
  <c r="AI198" i="2"/>
  <c r="AJ198" i="2" s="1"/>
  <c r="AE199" i="2"/>
  <c r="AC199" i="2" s="1"/>
  <c r="AF199" i="2"/>
  <c r="AG199" i="2"/>
  <c r="AH199" i="2" s="1"/>
  <c r="AI199" i="2"/>
  <c r="AJ199" i="2" s="1"/>
  <c r="AE200" i="2"/>
  <c r="AC200" i="2" s="1"/>
  <c r="AF200" i="2"/>
  <c r="AG200" i="2"/>
  <c r="AH200" i="2" s="1"/>
  <c r="AI200" i="2"/>
  <c r="AJ200" i="2" s="1"/>
  <c r="AE201" i="2"/>
  <c r="AC201" i="2" s="1"/>
  <c r="AF201" i="2"/>
  <c r="AG201" i="2"/>
  <c r="AH201" i="2" s="1"/>
  <c r="AI201" i="2"/>
  <c r="AJ201" i="2" s="1"/>
  <c r="AE202" i="2"/>
  <c r="AC202" i="2" s="1"/>
  <c r="AF202" i="2"/>
  <c r="AG202" i="2"/>
  <c r="AH202" i="2" s="1"/>
  <c r="AI202" i="2"/>
  <c r="AJ202" i="2" s="1"/>
  <c r="AE203" i="2"/>
  <c r="AC203" i="2" s="1"/>
  <c r="AF203" i="2"/>
  <c r="AG203" i="2"/>
  <c r="AH203" i="2" s="1"/>
  <c r="AI203" i="2"/>
  <c r="AJ203" i="2" s="1"/>
  <c r="AE204" i="2"/>
  <c r="AC204" i="2" s="1"/>
  <c r="AF204" i="2"/>
  <c r="AG204" i="2"/>
  <c r="AH204" i="2" s="1"/>
  <c r="AI204" i="2"/>
  <c r="AJ204" i="2" s="1"/>
  <c r="AE205" i="2"/>
  <c r="AC205" i="2" s="1"/>
  <c r="AF205" i="2"/>
  <c r="AG205" i="2"/>
  <c r="AH205" i="2" s="1"/>
  <c r="AI205" i="2"/>
  <c r="AJ205" i="2" s="1"/>
  <c r="AE206" i="2"/>
  <c r="AC206" i="2" s="1"/>
  <c r="AF206" i="2"/>
  <c r="AG206" i="2"/>
  <c r="AH206" i="2" s="1"/>
  <c r="AI206" i="2"/>
  <c r="AJ206" i="2" s="1"/>
  <c r="AE207" i="2"/>
  <c r="AF207" i="2"/>
  <c r="AG207" i="2"/>
  <c r="AH207" i="2" s="1"/>
  <c r="AI207" i="2"/>
  <c r="AJ207" i="2" s="1"/>
  <c r="AE208" i="2"/>
  <c r="AF208" i="2"/>
  <c r="AG208" i="2"/>
  <c r="AH208" i="2" s="1"/>
  <c r="AI208" i="2"/>
  <c r="AJ208" i="2" s="1"/>
  <c r="AE209" i="2"/>
  <c r="AC209" i="2" s="1"/>
  <c r="AF209" i="2"/>
  <c r="AG209" i="2"/>
  <c r="AH209" i="2" s="1"/>
  <c r="AI209" i="2"/>
  <c r="AJ209" i="2" s="1"/>
  <c r="AE210" i="2"/>
  <c r="AC210" i="2" s="1"/>
  <c r="AF210" i="2"/>
  <c r="AG210" i="2"/>
  <c r="AH210" i="2" s="1"/>
  <c r="AI210" i="2"/>
  <c r="AJ210" i="2" s="1"/>
  <c r="AE211" i="2"/>
  <c r="AF211" i="2"/>
  <c r="AG211" i="2"/>
  <c r="AH211" i="2" s="1"/>
  <c r="AI211" i="2"/>
  <c r="AJ211" i="2" s="1"/>
  <c r="AE212" i="2"/>
  <c r="AC212" i="2" s="1"/>
  <c r="AF212" i="2"/>
  <c r="AG212" i="2"/>
  <c r="AH212" i="2" s="1"/>
  <c r="AI212" i="2"/>
  <c r="AJ212" i="2" s="1"/>
  <c r="AE213" i="2"/>
  <c r="AC213" i="2" s="1"/>
  <c r="AF213" i="2"/>
  <c r="AG213" i="2"/>
  <c r="AH213" i="2" s="1"/>
  <c r="AI213" i="2"/>
  <c r="AJ213" i="2" s="1"/>
  <c r="AE214" i="2"/>
  <c r="AC214" i="2" s="1"/>
  <c r="AF214" i="2"/>
  <c r="AG214" i="2"/>
  <c r="AH214" i="2" s="1"/>
  <c r="AI214" i="2"/>
  <c r="AJ214" i="2" s="1"/>
  <c r="AE215" i="2"/>
  <c r="AC215" i="2" s="1"/>
  <c r="AF215" i="2"/>
  <c r="AG215" i="2"/>
  <c r="AH215" i="2" s="1"/>
  <c r="AI215" i="2"/>
  <c r="AJ215" i="2" s="1"/>
  <c r="AE216" i="2"/>
  <c r="AF216" i="2"/>
  <c r="AG216" i="2"/>
  <c r="AH216" i="2" s="1"/>
  <c r="AI216" i="2"/>
  <c r="AJ216" i="2" s="1"/>
  <c r="AE217" i="2"/>
  <c r="AC217" i="2" s="1"/>
  <c r="AF217" i="2"/>
  <c r="AG217" i="2"/>
  <c r="AH217" i="2" s="1"/>
  <c r="AI217" i="2"/>
  <c r="AJ217" i="2" s="1"/>
  <c r="AE218" i="2"/>
  <c r="AF218" i="2"/>
  <c r="AG218" i="2"/>
  <c r="AH218" i="2" s="1"/>
  <c r="AI218" i="2"/>
  <c r="AJ218" i="2" s="1"/>
  <c r="AE219" i="2"/>
  <c r="AC219" i="2" s="1"/>
  <c r="AF219" i="2"/>
  <c r="AG219" i="2"/>
  <c r="AH219" i="2" s="1"/>
  <c r="AI219" i="2"/>
  <c r="AJ219" i="2" s="1"/>
  <c r="AE220" i="2"/>
  <c r="AF220" i="2"/>
  <c r="AG220" i="2"/>
  <c r="AH220" i="2" s="1"/>
  <c r="AI220" i="2"/>
  <c r="AJ220" i="2" s="1"/>
  <c r="AE221" i="2"/>
  <c r="AF221" i="2"/>
  <c r="AG221" i="2"/>
  <c r="AH221" i="2" s="1"/>
  <c r="AI221" i="2"/>
  <c r="AJ221" i="2" s="1"/>
  <c r="AE222" i="2"/>
  <c r="AF222" i="2"/>
  <c r="AG222" i="2"/>
  <c r="AH222" i="2" s="1"/>
  <c r="AI222" i="2"/>
  <c r="AJ222" i="2" s="1"/>
  <c r="AE223" i="2"/>
  <c r="AF223" i="2"/>
  <c r="AG223" i="2"/>
  <c r="AH223" i="2" s="1"/>
  <c r="AI223" i="2"/>
  <c r="AJ223" i="2" s="1"/>
  <c r="AE224" i="2"/>
  <c r="AF224" i="2"/>
  <c r="AG224" i="2"/>
  <c r="AH224" i="2" s="1"/>
  <c r="AI224" i="2"/>
  <c r="AJ224" i="2" s="1"/>
  <c r="AE225" i="2"/>
  <c r="AC225" i="2" s="1"/>
  <c r="AF225" i="2"/>
  <c r="AG225" i="2"/>
  <c r="AH225" i="2" s="1"/>
  <c r="AI225" i="2"/>
  <c r="AJ225" i="2" s="1"/>
  <c r="AE226" i="2"/>
  <c r="AF226" i="2"/>
  <c r="AG226" i="2"/>
  <c r="AH226" i="2" s="1"/>
  <c r="AI226" i="2"/>
  <c r="AJ226" i="2" s="1"/>
  <c r="AE227" i="2"/>
  <c r="AF227" i="2"/>
  <c r="AG227" i="2"/>
  <c r="AH227" i="2" s="1"/>
  <c r="AI227" i="2"/>
  <c r="AJ227" i="2" s="1"/>
  <c r="AE228" i="2"/>
  <c r="AF228" i="2"/>
  <c r="AG228" i="2"/>
  <c r="AH228" i="2" s="1"/>
  <c r="AI228" i="2"/>
  <c r="AJ228" i="2" s="1"/>
  <c r="AE229" i="2"/>
  <c r="AF229" i="2"/>
  <c r="AG229" i="2"/>
  <c r="AH229" i="2" s="1"/>
  <c r="AI229" i="2"/>
  <c r="AJ229" i="2" s="1"/>
  <c r="AE230" i="2"/>
  <c r="AC230" i="2" s="1"/>
  <c r="AF230" i="2"/>
  <c r="AG230" i="2"/>
  <c r="AH230" i="2" s="1"/>
  <c r="AI230" i="2"/>
  <c r="AJ230" i="2" s="1"/>
  <c r="AE231" i="2"/>
  <c r="AC231" i="2" s="1"/>
  <c r="AF231" i="2"/>
  <c r="AG231" i="2"/>
  <c r="AH231" i="2" s="1"/>
  <c r="AI231" i="2"/>
  <c r="AJ231" i="2" s="1"/>
  <c r="AE232" i="2"/>
  <c r="AF232" i="2"/>
  <c r="AG232" i="2"/>
  <c r="AH232" i="2" s="1"/>
  <c r="AI232" i="2"/>
  <c r="AJ232" i="2" s="1"/>
  <c r="AE233" i="2"/>
  <c r="AC233" i="2" s="1"/>
  <c r="AF233" i="2"/>
  <c r="AG233" i="2"/>
  <c r="AH233" i="2" s="1"/>
  <c r="AI233" i="2"/>
  <c r="AJ233" i="2" s="1"/>
  <c r="AE234" i="2"/>
  <c r="AF234" i="2"/>
  <c r="AG234" i="2"/>
  <c r="AH234" i="2" s="1"/>
  <c r="AI234" i="2"/>
  <c r="AJ234" i="2" s="1"/>
  <c r="AE235" i="2"/>
  <c r="AF235" i="2"/>
  <c r="AG235" i="2"/>
  <c r="AH235" i="2" s="1"/>
  <c r="AI235" i="2"/>
  <c r="AJ235" i="2" s="1"/>
  <c r="AE236" i="2"/>
  <c r="AF236" i="2"/>
  <c r="AG236" i="2"/>
  <c r="AH236" i="2" s="1"/>
  <c r="AI236" i="2"/>
  <c r="AJ236" i="2" s="1"/>
  <c r="AE237" i="2"/>
  <c r="AF237" i="2"/>
  <c r="AG237" i="2"/>
  <c r="AH237" i="2" s="1"/>
  <c r="AI237" i="2"/>
  <c r="AJ237" i="2" s="1"/>
  <c r="AE238" i="2"/>
  <c r="AC238" i="2" s="1"/>
  <c r="AF238" i="2"/>
  <c r="AG238" i="2"/>
  <c r="AH238" i="2" s="1"/>
  <c r="AI238" i="2"/>
  <c r="AJ238" i="2" s="1"/>
  <c r="AE239" i="2"/>
  <c r="AF239" i="2"/>
  <c r="AG239" i="2"/>
  <c r="AH239" i="2" s="1"/>
  <c r="AI239" i="2"/>
  <c r="AJ239" i="2" s="1"/>
  <c r="AE240" i="2"/>
  <c r="AF240" i="2"/>
  <c r="AG240" i="2"/>
  <c r="AH240" i="2" s="1"/>
  <c r="AI240" i="2"/>
  <c r="AJ240" i="2" s="1"/>
  <c r="AE241" i="2"/>
  <c r="AC241" i="2" s="1"/>
  <c r="AF241" i="2"/>
  <c r="AG241" i="2"/>
  <c r="AH241" i="2" s="1"/>
  <c r="AI241" i="2"/>
  <c r="AJ241" i="2" s="1"/>
  <c r="AE242" i="2"/>
  <c r="AC242" i="2" s="1"/>
  <c r="AF242" i="2"/>
  <c r="AG242" i="2"/>
  <c r="AH242" i="2" s="1"/>
  <c r="AI242" i="2"/>
  <c r="AJ242" i="2" s="1"/>
  <c r="AE243" i="2"/>
  <c r="AC243" i="2" s="1"/>
  <c r="AF243" i="2"/>
  <c r="AG243" i="2"/>
  <c r="AH243" i="2" s="1"/>
  <c r="AI243" i="2"/>
  <c r="AJ243" i="2" s="1"/>
  <c r="AE244" i="2"/>
  <c r="AF244" i="2"/>
  <c r="AG244" i="2"/>
  <c r="AH244" i="2" s="1"/>
  <c r="AI244" i="2"/>
  <c r="AJ244" i="2" s="1"/>
  <c r="AE245" i="2"/>
  <c r="AF245" i="2"/>
  <c r="AG245" i="2"/>
  <c r="AH245" i="2" s="1"/>
  <c r="AI245" i="2"/>
  <c r="AJ245" i="2" s="1"/>
  <c r="AE246" i="2"/>
  <c r="AC246" i="2" s="1"/>
  <c r="AF246" i="2"/>
  <c r="AG246" i="2"/>
  <c r="AH246" i="2" s="1"/>
  <c r="AI246" i="2"/>
  <c r="AJ246" i="2" s="1"/>
  <c r="AE247" i="2"/>
  <c r="AF247" i="2"/>
  <c r="AG247" i="2"/>
  <c r="AH247" i="2" s="1"/>
  <c r="AI247" i="2"/>
  <c r="AJ247" i="2" s="1"/>
  <c r="AE248" i="2"/>
  <c r="AF248" i="2"/>
  <c r="AG248" i="2"/>
  <c r="AH248" i="2" s="1"/>
  <c r="AI248" i="2"/>
  <c r="AJ248" i="2" s="1"/>
  <c r="AE249" i="2"/>
  <c r="AC249" i="2" s="1"/>
  <c r="AF249" i="2"/>
  <c r="AG249" i="2"/>
  <c r="AH249" i="2" s="1"/>
  <c r="AI249" i="2"/>
  <c r="AJ249" i="2" s="1"/>
  <c r="AE250" i="2"/>
  <c r="AC250" i="2" s="1"/>
  <c r="AF250" i="2"/>
  <c r="AG250" i="2"/>
  <c r="AH250" i="2" s="1"/>
  <c r="AI250" i="2"/>
  <c r="AJ250" i="2" s="1"/>
  <c r="AE251" i="2"/>
  <c r="AC251" i="2" s="1"/>
  <c r="AF251" i="2"/>
  <c r="AG251" i="2"/>
  <c r="AH251" i="2" s="1"/>
  <c r="AI251" i="2"/>
  <c r="AJ251" i="2" s="1"/>
  <c r="AE252" i="2"/>
  <c r="AC252" i="2" s="1"/>
  <c r="AF252" i="2"/>
  <c r="AG252" i="2"/>
  <c r="AH252" i="2" s="1"/>
  <c r="AI252" i="2"/>
  <c r="AJ252" i="2" s="1"/>
  <c r="AE253" i="2"/>
  <c r="AC253" i="2" s="1"/>
  <c r="AF253" i="2"/>
  <c r="AG253" i="2"/>
  <c r="AH253" i="2" s="1"/>
  <c r="AI253" i="2"/>
  <c r="AJ253" i="2" s="1"/>
  <c r="AE254" i="2"/>
  <c r="AC254" i="2" s="1"/>
  <c r="AF254" i="2"/>
  <c r="AG254" i="2"/>
  <c r="AH254" i="2" s="1"/>
  <c r="AI254" i="2"/>
  <c r="AJ254" i="2" s="1"/>
  <c r="AE255" i="2"/>
  <c r="AC255" i="2" s="1"/>
  <c r="AF255" i="2"/>
  <c r="AG255" i="2"/>
  <c r="AH255" i="2" s="1"/>
  <c r="AI255" i="2"/>
  <c r="AJ255" i="2" s="1"/>
  <c r="AE256" i="2"/>
  <c r="AC256" i="2" s="1"/>
  <c r="AF256" i="2"/>
  <c r="AG256" i="2"/>
  <c r="AH256" i="2" s="1"/>
  <c r="AI256" i="2"/>
  <c r="AJ256" i="2" s="1"/>
  <c r="AE257" i="2"/>
  <c r="AC257" i="2" s="1"/>
  <c r="AF257" i="2"/>
  <c r="AG257" i="2"/>
  <c r="AH257" i="2" s="1"/>
  <c r="AI257" i="2"/>
  <c r="AJ257" i="2" s="1"/>
  <c r="AE258" i="2"/>
  <c r="AC258" i="2" s="1"/>
  <c r="AF258" i="2"/>
  <c r="AG258" i="2"/>
  <c r="AH258" i="2" s="1"/>
  <c r="AI258" i="2"/>
  <c r="AJ258" i="2" s="1"/>
  <c r="AE259" i="2"/>
  <c r="AC259" i="2" s="1"/>
  <c r="AF259" i="2"/>
  <c r="AG259" i="2"/>
  <c r="AH259" i="2" s="1"/>
  <c r="AI259" i="2"/>
  <c r="AJ259" i="2" s="1"/>
  <c r="AE260" i="2"/>
  <c r="AC260" i="2" s="1"/>
  <c r="AF260" i="2"/>
  <c r="AG260" i="2"/>
  <c r="AH260" i="2" s="1"/>
  <c r="AI260" i="2"/>
  <c r="AJ260" i="2" s="1"/>
  <c r="AE261" i="2"/>
  <c r="AC261" i="2" s="1"/>
  <c r="AF261" i="2"/>
  <c r="AG261" i="2"/>
  <c r="AH261" i="2" s="1"/>
  <c r="AI261" i="2"/>
  <c r="AJ261" i="2" s="1"/>
  <c r="AE262" i="2"/>
  <c r="AC262" i="2" s="1"/>
  <c r="AF262" i="2"/>
  <c r="AG262" i="2"/>
  <c r="AH262" i="2" s="1"/>
  <c r="AI262" i="2"/>
  <c r="AJ262" i="2" s="1"/>
  <c r="AE263" i="2"/>
  <c r="AC263" i="2" s="1"/>
  <c r="AF263" i="2"/>
  <c r="AG263" i="2"/>
  <c r="AH263" i="2" s="1"/>
  <c r="AI263" i="2"/>
  <c r="AJ263" i="2" s="1"/>
  <c r="AE264" i="2"/>
  <c r="AC264" i="2" s="1"/>
  <c r="AF264" i="2"/>
  <c r="AG264" i="2"/>
  <c r="AH264" i="2" s="1"/>
  <c r="AI264" i="2"/>
  <c r="AJ264" i="2" s="1"/>
  <c r="AE265" i="2"/>
  <c r="AC265" i="2" s="1"/>
  <c r="AF265" i="2"/>
  <c r="AG265" i="2"/>
  <c r="AH265" i="2" s="1"/>
  <c r="AI265" i="2"/>
  <c r="AJ265" i="2" s="1"/>
  <c r="AE266" i="2"/>
  <c r="AC266" i="2" s="1"/>
  <c r="AF266" i="2"/>
  <c r="AG266" i="2"/>
  <c r="AH266" i="2" s="1"/>
  <c r="AI266" i="2"/>
  <c r="AJ266" i="2" s="1"/>
  <c r="AE267" i="2"/>
  <c r="AC267" i="2" s="1"/>
  <c r="AF267" i="2"/>
  <c r="AG267" i="2"/>
  <c r="AH267" i="2" s="1"/>
  <c r="AI267" i="2"/>
  <c r="AJ267" i="2" s="1"/>
  <c r="AE268" i="2"/>
  <c r="AC268" i="2" s="1"/>
  <c r="AF268" i="2"/>
  <c r="AG268" i="2"/>
  <c r="AH268" i="2" s="1"/>
  <c r="AI268" i="2"/>
  <c r="AJ268" i="2" s="1"/>
  <c r="AE269" i="2"/>
  <c r="AC269" i="2" s="1"/>
  <c r="AF269" i="2"/>
  <c r="AG269" i="2"/>
  <c r="AH269" i="2" s="1"/>
  <c r="AI269" i="2"/>
  <c r="AJ269" i="2" s="1"/>
  <c r="AE270" i="2"/>
  <c r="AC270" i="2" s="1"/>
  <c r="AF270" i="2"/>
  <c r="AG270" i="2"/>
  <c r="AH270" i="2" s="1"/>
  <c r="AI270" i="2"/>
  <c r="AJ270" i="2" s="1"/>
  <c r="AE271" i="2"/>
  <c r="AC271" i="2" s="1"/>
  <c r="AF271" i="2"/>
  <c r="AG271" i="2"/>
  <c r="AH271" i="2" s="1"/>
  <c r="AI271" i="2"/>
  <c r="AJ271" i="2" s="1"/>
  <c r="AE272" i="2"/>
  <c r="AC272" i="2" s="1"/>
  <c r="AF272" i="2"/>
  <c r="AG272" i="2"/>
  <c r="AH272" i="2" s="1"/>
  <c r="AI272" i="2"/>
  <c r="AJ272" i="2" s="1"/>
  <c r="AE273" i="2"/>
  <c r="AC273" i="2" s="1"/>
  <c r="AF273" i="2"/>
  <c r="AG273" i="2"/>
  <c r="AH273" i="2" s="1"/>
  <c r="AI273" i="2"/>
  <c r="AJ273" i="2" s="1"/>
  <c r="AE274" i="2"/>
  <c r="AC274" i="2" s="1"/>
  <c r="AF274" i="2"/>
  <c r="AG274" i="2"/>
  <c r="AH274" i="2" s="1"/>
  <c r="AI274" i="2"/>
  <c r="AJ274" i="2" s="1"/>
  <c r="AE275" i="2"/>
  <c r="AF275" i="2"/>
  <c r="AG275" i="2"/>
  <c r="AH275" i="2" s="1"/>
  <c r="AI275" i="2"/>
  <c r="AJ275" i="2" s="1"/>
  <c r="AE276" i="2"/>
  <c r="AC276" i="2" s="1"/>
  <c r="AF276" i="2"/>
  <c r="AG276" i="2"/>
  <c r="AH276" i="2" s="1"/>
  <c r="AI276" i="2"/>
  <c r="AJ276" i="2" s="1"/>
  <c r="AE277" i="2"/>
  <c r="AC277" i="2" s="1"/>
  <c r="AF277" i="2"/>
  <c r="AG277" i="2"/>
  <c r="AH277" i="2" s="1"/>
  <c r="AI277" i="2"/>
  <c r="AJ277" i="2" s="1"/>
  <c r="AE278" i="2"/>
  <c r="AC278" i="2" s="1"/>
  <c r="AF278" i="2"/>
  <c r="AG278" i="2"/>
  <c r="AH278" i="2" s="1"/>
  <c r="AI278" i="2"/>
  <c r="AJ278" i="2" s="1"/>
  <c r="AE279" i="2"/>
  <c r="AC279" i="2" s="1"/>
  <c r="AF279" i="2"/>
  <c r="AG279" i="2"/>
  <c r="AH279" i="2" s="1"/>
  <c r="AI279" i="2"/>
  <c r="AJ279" i="2" s="1"/>
  <c r="AE280" i="2"/>
  <c r="AC280" i="2" s="1"/>
  <c r="AF280" i="2"/>
  <c r="AG280" i="2"/>
  <c r="AH280" i="2" s="1"/>
  <c r="AI280" i="2"/>
  <c r="AJ280" i="2" s="1"/>
  <c r="AE281" i="2"/>
  <c r="AC281" i="2" s="1"/>
  <c r="AF281" i="2"/>
  <c r="AG281" i="2"/>
  <c r="AH281" i="2" s="1"/>
  <c r="AI281" i="2"/>
  <c r="AJ281" i="2" s="1"/>
  <c r="AE282" i="2"/>
  <c r="AC282" i="2" s="1"/>
  <c r="AF282" i="2"/>
  <c r="AG282" i="2"/>
  <c r="AH282" i="2" s="1"/>
  <c r="AI282" i="2"/>
  <c r="AJ282" i="2" s="1"/>
  <c r="AE283" i="2"/>
  <c r="AF283" i="2"/>
  <c r="AG283" i="2"/>
  <c r="AH283" i="2" s="1"/>
  <c r="AI283" i="2"/>
  <c r="AJ283" i="2" s="1"/>
  <c r="AE284" i="2"/>
  <c r="AC284" i="2" s="1"/>
  <c r="AF284" i="2"/>
  <c r="AG284" i="2"/>
  <c r="AH284" i="2" s="1"/>
  <c r="AI284" i="2"/>
  <c r="AJ284" i="2" s="1"/>
  <c r="AE285" i="2"/>
  <c r="AC285" i="2" s="1"/>
  <c r="AF285" i="2"/>
  <c r="AG285" i="2"/>
  <c r="AH285" i="2" s="1"/>
  <c r="AI285" i="2"/>
  <c r="AJ285" i="2" s="1"/>
  <c r="AE286" i="2"/>
  <c r="AC286" i="2" s="1"/>
  <c r="AF286" i="2"/>
  <c r="AG286" i="2"/>
  <c r="AH286" i="2" s="1"/>
  <c r="AI286" i="2"/>
  <c r="AJ286" i="2" s="1"/>
  <c r="AE287" i="2"/>
  <c r="AC287" i="2" s="1"/>
  <c r="AF287" i="2"/>
  <c r="AG287" i="2"/>
  <c r="AH287" i="2" s="1"/>
  <c r="AI287" i="2"/>
  <c r="AJ287" i="2" s="1"/>
  <c r="AE288" i="2"/>
  <c r="AC288" i="2" s="1"/>
  <c r="AF288" i="2"/>
  <c r="AG288" i="2"/>
  <c r="AH288" i="2" s="1"/>
  <c r="AI288" i="2"/>
  <c r="AJ288" i="2" s="1"/>
  <c r="AE289" i="2"/>
  <c r="AC289" i="2" s="1"/>
  <c r="AF289" i="2"/>
  <c r="AG289" i="2"/>
  <c r="AH289" i="2" s="1"/>
  <c r="AI289" i="2"/>
  <c r="AJ289" i="2" s="1"/>
  <c r="AE290" i="2"/>
  <c r="AC290" i="2" s="1"/>
  <c r="AF290" i="2"/>
  <c r="AG290" i="2"/>
  <c r="AH290" i="2" s="1"/>
  <c r="AI290" i="2"/>
  <c r="AJ290" i="2" s="1"/>
  <c r="AE291" i="2"/>
  <c r="AF291" i="2"/>
  <c r="AG291" i="2"/>
  <c r="AH291" i="2" s="1"/>
  <c r="AI291" i="2"/>
  <c r="AJ291" i="2" s="1"/>
  <c r="AE292" i="2"/>
  <c r="AC292" i="2" s="1"/>
  <c r="AF292" i="2"/>
  <c r="AG292" i="2"/>
  <c r="AH292" i="2" s="1"/>
  <c r="AI292" i="2"/>
  <c r="AJ292" i="2" s="1"/>
  <c r="AE293" i="2"/>
  <c r="AC293" i="2" s="1"/>
  <c r="AF293" i="2"/>
  <c r="AG293" i="2"/>
  <c r="AH293" i="2" s="1"/>
  <c r="AI293" i="2"/>
  <c r="AJ293" i="2" s="1"/>
  <c r="AE294" i="2"/>
  <c r="AC294" i="2" s="1"/>
  <c r="AF294" i="2"/>
  <c r="AG294" i="2"/>
  <c r="AH294" i="2" s="1"/>
  <c r="AI294" i="2"/>
  <c r="AJ294" i="2" s="1"/>
  <c r="AE295" i="2"/>
  <c r="AC295" i="2" s="1"/>
  <c r="AF295" i="2"/>
  <c r="AG295" i="2"/>
  <c r="AH295" i="2" s="1"/>
  <c r="AI295" i="2"/>
  <c r="AJ295" i="2" s="1"/>
  <c r="AE296" i="2"/>
  <c r="AC296" i="2" s="1"/>
  <c r="AF296" i="2"/>
  <c r="AG296" i="2"/>
  <c r="AH296" i="2" s="1"/>
  <c r="AI296" i="2"/>
  <c r="AJ296" i="2" s="1"/>
  <c r="AE297" i="2"/>
  <c r="AC297" i="2" s="1"/>
  <c r="AF297" i="2"/>
  <c r="AG297" i="2"/>
  <c r="AH297" i="2" s="1"/>
  <c r="AI297" i="2"/>
  <c r="AJ297" i="2" s="1"/>
  <c r="AE298" i="2"/>
  <c r="AC298" i="2" s="1"/>
  <c r="AF298" i="2"/>
  <c r="AG298" i="2"/>
  <c r="AH298" i="2" s="1"/>
  <c r="AI298" i="2"/>
  <c r="AJ298" i="2" s="1"/>
  <c r="AE299" i="2"/>
  <c r="AF299" i="2"/>
  <c r="AG299" i="2"/>
  <c r="AH299" i="2" s="1"/>
  <c r="AI299" i="2"/>
  <c r="AJ299" i="2" s="1"/>
  <c r="AE300" i="2"/>
  <c r="AC300" i="2" s="1"/>
  <c r="AF300" i="2"/>
  <c r="AG300" i="2"/>
  <c r="AH300" i="2" s="1"/>
  <c r="AI300" i="2"/>
  <c r="AJ300" i="2" s="1"/>
  <c r="AE301" i="2"/>
  <c r="AC301" i="2" s="1"/>
  <c r="AF301" i="2"/>
  <c r="AG301" i="2"/>
  <c r="AH301" i="2" s="1"/>
  <c r="AI301" i="2"/>
  <c r="AJ301" i="2" s="1"/>
  <c r="AE302" i="2"/>
  <c r="AC302" i="2" s="1"/>
  <c r="AF302" i="2"/>
  <c r="AG302" i="2"/>
  <c r="AH302" i="2" s="1"/>
  <c r="AI302" i="2"/>
  <c r="AJ302" i="2" s="1"/>
  <c r="AE303" i="2"/>
  <c r="AC303" i="2" s="1"/>
  <c r="AF303" i="2"/>
  <c r="AG303" i="2"/>
  <c r="AH303" i="2" s="1"/>
  <c r="AI303" i="2"/>
  <c r="AJ303" i="2" s="1"/>
  <c r="AE304" i="2"/>
  <c r="AC304" i="2" s="1"/>
  <c r="AF304" i="2"/>
  <c r="AG304" i="2"/>
  <c r="AH304" i="2" s="1"/>
  <c r="AI304" i="2"/>
  <c r="AJ304" i="2" s="1"/>
  <c r="AE305" i="2"/>
  <c r="AC305" i="2" s="1"/>
  <c r="AF305" i="2"/>
  <c r="AG305" i="2"/>
  <c r="AH305" i="2" s="1"/>
  <c r="AI305" i="2"/>
  <c r="AJ305" i="2" s="1"/>
  <c r="AE306" i="2"/>
  <c r="AC306" i="2" s="1"/>
  <c r="AF306" i="2"/>
  <c r="AG306" i="2"/>
  <c r="AH306" i="2" s="1"/>
  <c r="AI306" i="2"/>
  <c r="AJ306" i="2" s="1"/>
  <c r="AE307" i="2"/>
  <c r="AF307" i="2"/>
  <c r="AG307" i="2"/>
  <c r="AH307" i="2" s="1"/>
  <c r="AI307" i="2"/>
  <c r="AJ307" i="2" s="1"/>
  <c r="AE308" i="2"/>
  <c r="AC308" i="2" s="1"/>
  <c r="AF308" i="2"/>
  <c r="AG308" i="2"/>
  <c r="AH308" i="2" s="1"/>
  <c r="AI308" i="2"/>
  <c r="AJ308" i="2" s="1"/>
  <c r="AE309" i="2"/>
  <c r="AC309" i="2" s="1"/>
  <c r="AF309" i="2"/>
  <c r="AG309" i="2"/>
  <c r="AH309" i="2" s="1"/>
  <c r="AI309" i="2"/>
  <c r="AJ309" i="2" s="1"/>
  <c r="AE310" i="2"/>
  <c r="AF310" i="2"/>
  <c r="AG310" i="2"/>
  <c r="AH310" i="2" s="1"/>
  <c r="AI310" i="2"/>
  <c r="AJ310" i="2" s="1"/>
  <c r="AE311" i="2"/>
  <c r="AC311" i="2" s="1"/>
  <c r="AF311" i="2"/>
  <c r="AG311" i="2"/>
  <c r="AH311" i="2" s="1"/>
  <c r="AI311" i="2"/>
  <c r="AJ311" i="2" s="1"/>
  <c r="AE312" i="2"/>
  <c r="AC312" i="2" s="1"/>
  <c r="AF312" i="2"/>
  <c r="AG312" i="2"/>
  <c r="AH312" i="2" s="1"/>
  <c r="AI312" i="2"/>
  <c r="AJ312" i="2" s="1"/>
  <c r="AE313" i="2"/>
  <c r="AC313" i="2" s="1"/>
  <c r="AF313" i="2"/>
  <c r="AG313" i="2"/>
  <c r="AH313" i="2" s="1"/>
  <c r="AI313" i="2"/>
  <c r="AJ313" i="2" s="1"/>
  <c r="AE314" i="2"/>
  <c r="AC314" i="2" s="1"/>
  <c r="AF314" i="2"/>
  <c r="AG314" i="2"/>
  <c r="AH314" i="2" s="1"/>
  <c r="AI314" i="2"/>
  <c r="AJ314" i="2" s="1"/>
  <c r="AE315" i="2"/>
  <c r="AF315" i="2"/>
  <c r="AG315" i="2"/>
  <c r="AH315" i="2" s="1"/>
  <c r="AI315" i="2"/>
  <c r="AJ315" i="2" s="1"/>
  <c r="AE316" i="2"/>
  <c r="AC316" i="2" s="1"/>
  <c r="AF316" i="2"/>
  <c r="AG316" i="2"/>
  <c r="AH316" i="2" s="1"/>
  <c r="AI316" i="2"/>
  <c r="AJ316" i="2" s="1"/>
  <c r="AE317" i="2"/>
  <c r="AC317" i="2" s="1"/>
  <c r="AF317" i="2"/>
  <c r="AG317" i="2"/>
  <c r="AH317" i="2" s="1"/>
  <c r="AI317" i="2"/>
  <c r="AJ317" i="2" s="1"/>
  <c r="AE318" i="2"/>
  <c r="AF318" i="2"/>
  <c r="AG318" i="2"/>
  <c r="AH318" i="2" s="1"/>
  <c r="AI318" i="2"/>
  <c r="AJ318" i="2" s="1"/>
  <c r="AE319" i="2"/>
  <c r="AC319" i="2" s="1"/>
  <c r="AF319" i="2"/>
  <c r="AG319" i="2"/>
  <c r="AH319" i="2" s="1"/>
  <c r="AI319" i="2"/>
  <c r="AJ319" i="2" s="1"/>
  <c r="AE320" i="2"/>
  <c r="AC320" i="2" s="1"/>
  <c r="AF320" i="2"/>
  <c r="AG320" i="2"/>
  <c r="AH320" i="2" s="1"/>
  <c r="AI320" i="2"/>
  <c r="AJ320" i="2" s="1"/>
  <c r="AE321" i="2"/>
  <c r="AF321" i="2"/>
  <c r="AG321" i="2"/>
  <c r="AH321" i="2" s="1"/>
  <c r="AI321" i="2"/>
  <c r="AJ321" i="2" s="1"/>
  <c r="AE322" i="2"/>
  <c r="AC322" i="2" s="1"/>
  <c r="AF322" i="2"/>
  <c r="AG322" i="2"/>
  <c r="AH322" i="2" s="1"/>
  <c r="AI322" i="2"/>
  <c r="AJ322" i="2" s="1"/>
  <c r="AE323" i="2"/>
  <c r="AC323" i="2" s="1"/>
  <c r="AF323" i="2"/>
  <c r="AG323" i="2"/>
  <c r="AH323" i="2" s="1"/>
  <c r="AI323" i="2"/>
  <c r="AJ323" i="2" s="1"/>
  <c r="AE324" i="2"/>
  <c r="AC324" i="2" s="1"/>
  <c r="AF324" i="2"/>
  <c r="AG324" i="2"/>
  <c r="AH324" i="2" s="1"/>
  <c r="AI324" i="2"/>
  <c r="AJ324" i="2" s="1"/>
  <c r="AE325" i="2"/>
  <c r="AF325" i="2"/>
  <c r="AG325" i="2"/>
  <c r="AH325" i="2" s="1"/>
  <c r="AI325" i="2"/>
  <c r="AJ325" i="2" s="1"/>
  <c r="AE326" i="2"/>
  <c r="AC326" i="2" s="1"/>
  <c r="AF326" i="2"/>
  <c r="AG326" i="2"/>
  <c r="AH326" i="2" s="1"/>
  <c r="AI326" i="2"/>
  <c r="AJ326" i="2" s="1"/>
  <c r="AE327" i="2"/>
  <c r="AC327" i="2" s="1"/>
  <c r="AF327" i="2"/>
  <c r="AG327" i="2"/>
  <c r="AH327" i="2" s="1"/>
  <c r="AI327" i="2"/>
  <c r="AJ327" i="2" s="1"/>
  <c r="AE328" i="2"/>
  <c r="AC328" i="2" s="1"/>
  <c r="AF328" i="2"/>
  <c r="AG328" i="2"/>
  <c r="AH328" i="2" s="1"/>
  <c r="AI328" i="2"/>
  <c r="AJ328" i="2" s="1"/>
  <c r="AE329" i="2"/>
  <c r="AC329" i="2" s="1"/>
  <c r="AF329" i="2"/>
  <c r="AG329" i="2"/>
  <c r="AH329" i="2" s="1"/>
  <c r="AI329" i="2"/>
  <c r="AJ329" i="2" s="1"/>
  <c r="AE330" i="2"/>
  <c r="AC330" i="2" s="1"/>
  <c r="AF330" i="2"/>
  <c r="AG330" i="2"/>
  <c r="AH330" i="2" s="1"/>
  <c r="AI330" i="2"/>
  <c r="AJ330" i="2" s="1"/>
  <c r="AE331" i="2"/>
  <c r="AC331" i="2" s="1"/>
  <c r="AF331" i="2"/>
  <c r="AG331" i="2"/>
  <c r="AH331" i="2" s="1"/>
  <c r="AI331" i="2"/>
  <c r="AJ331" i="2" s="1"/>
  <c r="AE332" i="2"/>
  <c r="AC332" i="2" s="1"/>
  <c r="AF332" i="2"/>
  <c r="AG332" i="2"/>
  <c r="AH332" i="2" s="1"/>
  <c r="AI332" i="2"/>
  <c r="AJ332" i="2" s="1"/>
  <c r="AE333" i="2"/>
  <c r="AF333" i="2"/>
  <c r="AG333" i="2"/>
  <c r="AH333" i="2" s="1"/>
  <c r="AI333" i="2"/>
  <c r="AJ333" i="2" s="1"/>
  <c r="AE334" i="2"/>
  <c r="AC334" i="2" s="1"/>
  <c r="AF334" i="2"/>
  <c r="AG334" i="2"/>
  <c r="AH334" i="2" s="1"/>
  <c r="AI334" i="2"/>
  <c r="AJ334" i="2" s="1"/>
  <c r="AE335" i="2"/>
  <c r="AC335" i="2" s="1"/>
  <c r="AF335" i="2"/>
  <c r="AG335" i="2"/>
  <c r="AH335" i="2" s="1"/>
  <c r="AI335" i="2"/>
  <c r="AJ335" i="2" s="1"/>
  <c r="AE336" i="2"/>
  <c r="AC336" i="2" s="1"/>
  <c r="AF336" i="2"/>
  <c r="AG336" i="2"/>
  <c r="AH336" i="2" s="1"/>
  <c r="AI336" i="2"/>
  <c r="AJ336" i="2" s="1"/>
  <c r="AE337" i="2"/>
  <c r="AC337" i="2" s="1"/>
  <c r="AF337" i="2"/>
  <c r="AG337" i="2"/>
  <c r="AH337" i="2" s="1"/>
  <c r="AI337" i="2"/>
  <c r="AJ337" i="2" s="1"/>
  <c r="AE338" i="2"/>
  <c r="AC338" i="2" s="1"/>
  <c r="AF338" i="2"/>
  <c r="AG338" i="2"/>
  <c r="AH338" i="2" s="1"/>
  <c r="AI338" i="2"/>
  <c r="AJ338" i="2" s="1"/>
  <c r="AE339" i="2"/>
  <c r="AF339" i="2"/>
  <c r="AG339" i="2"/>
  <c r="AH339" i="2" s="1"/>
  <c r="AI339" i="2"/>
  <c r="AJ339" i="2" s="1"/>
  <c r="AE340" i="2"/>
  <c r="AF340" i="2"/>
  <c r="AG340" i="2"/>
  <c r="AH340" i="2" s="1"/>
  <c r="AI340" i="2"/>
  <c r="AJ340" i="2" s="1"/>
  <c r="AE341" i="2"/>
  <c r="AF341" i="2"/>
  <c r="AG341" i="2"/>
  <c r="AH341" i="2" s="1"/>
  <c r="AI341" i="2"/>
  <c r="AJ341" i="2" s="1"/>
  <c r="AE342" i="2"/>
  <c r="AC342" i="2" s="1"/>
  <c r="AF342" i="2"/>
  <c r="AG342" i="2"/>
  <c r="AH342" i="2" s="1"/>
  <c r="AI342" i="2"/>
  <c r="AJ342" i="2" s="1"/>
  <c r="AE343" i="2"/>
  <c r="AF343" i="2"/>
  <c r="AG343" i="2"/>
  <c r="AH343" i="2" s="1"/>
  <c r="AI343" i="2"/>
  <c r="AJ343" i="2" s="1"/>
  <c r="AE344" i="2"/>
  <c r="AF344" i="2"/>
  <c r="AG344" i="2"/>
  <c r="AH344" i="2" s="1"/>
  <c r="AI344" i="2"/>
  <c r="AJ344" i="2" s="1"/>
  <c r="AE345" i="2"/>
  <c r="AF345" i="2"/>
  <c r="AG345" i="2"/>
  <c r="AH345" i="2" s="1"/>
  <c r="AI345" i="2"/>
  <c r="AJ345" i="2" s="1"/>
  <c r="AE346" i="2"/>
  <c r="AC346" i="2" s="1"/>
  <c r="AF346" i="2"/>
  <c r="AG346" i="2"/>
  <c r="AH346" i="2" s="1"/>
  <c r="AI346" i="2"/>
  <c r="AJ346" i="2" s="1"/>
  <c r="AE347" i="2"/>
  <c r="AF347" i="2"/>
  <c r="AG347" i="2"/>
  <c r="AH347" i="2" s="1"/>
  <c r="AI347" i="2"/>
  <c r="AJ347" i="2" s="1"/>
  <c r="AE348" i="2"/>
  <c r="AF348" i="2"/>
  <c r="AG348" i="2"/>
  <c r="AH348" i="2" s="1"/>
  <c r="AI348" i="2"/>
  <c r="AJ348" i="2" s="1"/>
  <c r="AE349" i="2"/>
  <c r="AF349" i="2"/>
  <c r="AG349" i="2"/>
  <c r="AH349" i="2" s="1"/>
  <c r="AI349" i="2"/>
  <c r="AJ349" i="2" s="1"/>
  <c r="AE350" i="2"/>
  <c r="AC350" i="2" s="1"/>
  <c r="AF350" i="2"/>
  <c r="AG350" i="2"/>
  <c r="AH350" i="2" s="1"/>
  <c r="AI350" i="2"/>
  <c r="AJ350" i="2" s="1"/>
  <c r="AE351" i="2"/>
  <c r="AF351" i="2"/>
  <c r="AG351" i="2"/>
  <c r="AH351" i="2" s="1"/>
  <c r="AI351" i="2"/>
  <c r="AJ351" i="2" s="1"/>
  <c r="AE352" i="2"/>
  <c r="AF352" i="2"/>
  <c r="AG352" i="2"/>
  <c r="AH352" i="2" s="1"/>
  <c r="AI352" i="2"/>
  <c r="AJ352" i="2" s="1"/>
  <c r="AE353" i="2"/>
  <c r="AF353" i="2"/>
  <c r="AG353" i="2"/>
  <c r="AH353" i="2" s="1"/>
  <c r="AI353" i="2"/>
  <c r="AJ353" i="2" s="1"/>
  <c r="AE354" i="2"/>
  <c r="AC354" i="2" s="1"/>
  <c r="AF354" i="2"/>
  <c r="AG354" i="2"/>
  <c r="AH354" i="2" s="1"/>
  <c r="AI354" i="2"/>
  <c r="AJ354" i="2" s="1"/>
  <c r="AE355" i="2"/>
  <c r="AF355" i="2"/>
  <c r="AG355" i="2"/>
  <c r="AH355" i="2" s="1"/>
  <c r="AI355" i="2"/>
  <c r="AJ355" i="2" s="1"/>
  <c r="AE356" i="2"/>
  <c r="AF356" i="2"/>
  <c r="AG356" i="2"/>
  <c r="AH356" i="2" s="1"/>
  <c r="AI356" i="2"/>
  <c r="AJ356" i="2" s="1"/>
  <c r="AE357" i="2"/>
  <c r="AF357" i="2"/>
  <c r="AG357" i="2"/>
  <c r="AH357" i="2" s="1"/>
  <c r="AI357" i="2"/>
  <c r="AJ357" i="2" s="1"/>
  <c r="AE358" i="2"/>
  <c r="AC358" i="2" s="1"/>
  <c r="AF358" i="2"/>
  <c r="AG358" i="2"/>
  <c r="AH358" i="2" s="1"/>
  <c r="AI358" i="2"/>
  <c r="AJ358" i="2" s="1"/>
  <c r="AE359" i="2"/>
  <c r="AF359" i="2"/>
  <c r="AG359" i="2"/>
  <c r="AH359" i="2" s="1"/>
  <c r="AI359" i="2"/>
  <c r="AJ359" i="2" s="1"/>
  <c r="AE360" i="2"/>
  <c r="AF360" i="2"/>
  <c r="AG360" i="2"/>
  <c r="AH360" i="2" s="1"/>
  <c r="AI360" i="2"/>
  <c r="AJ360" i="2" s="1"/>
  <c r="AE361" i="2"/>
  <c r="AF361" i="2"/>
  <c r="AG361" i="2"/>
  <c r="AH361" i="2" s="1"/>
  <c r="AI361" i="2"/>
  <c r="AJ361" i="2" s="1"/>
  <c r="AE362" i="2"/>
  <c r="AC362" i="2" s="1"/>
  <c r="AF362" i="2"/>
  <c r="AG362" i="2"/>
  <c r="AH362" i="2" s="1"/>
  <c r="AI362" i="2"/>
  <c r="AJ362" i="2" s="1"/>
  <c r="AE363" i="2"/>
  <c r="AF363" i="2"/>
  <c r="AG363" i="2"/>
  <c r="AH363" i="2" s="1"/>
  <c r="AI363" i="2"/>
  <c r="AJ363" i="2" s="1"/>
  <c r="AE364" i="2"/>
  <c r="AF364" i="2"/>
  <c r="AG364" i="2"/>
  <c r="AH364" i="2" s="1"/>
  <c r="AI364" i="2"/>
  <c r="AJ364" i="2" s="1"/>
  <c r="AE365" i="2"/>
  <c r="AF365" i="2"/>
  <c r="AG365" i="2"/>
  <c r="AH365" i="2" s="1"/>
  <c r="AI365" i="2"/>
  <c r="AJ365" i="2" s="1"/>
  <c r="AE366" i="2"/>
  <c r="AC366" i="2" s="1"/>
  <c r="AF366" i="2"/>
  <c r="AG366" i="2"/>
  <c r="AH366" i="2" s="1"/>
  <c r="AI366" i="2"/>
  <c r="AJ366" i="2" s="1"/>
  <c r="AE367" i="2"/>
  <c r="AF367" i="2"/>
  <c r="AG367" i="2"/>
  <c r="AH367" i="2" s="1"/>
  <c r="AI367" i="2"/>
  <c r="AJ367" i="2" s="1"/>
  <c r="AE368" i="2"/>
  <c r="AF368" i="2"/>
  <c r="AG368" i="2"/>
  <c r="AH368" i="2" s="1"/>
  <c r="AI368" i="2"/>
  <c r="AJ368" i="2" s="1"/>
  <c r="AE369" i="2"/>
  <c r="AF369" i="2"/>
  <c r="AG369" i="2"/>
  <c r="AH369" i="2" s="1"/>
  <c r="AI369" i="2"/>
  <c r="AJ369" i="2" s="1"/>
  <c r="AE370" i="2"/>
  <c r="AC370" i="2" s="1"/>
  <c r="AF370" i="2"/>
  <c r="AG370" i="2"/>
  <c r="AH370" i="2" s="1"/>
  <c r="AI370" i="2"/>
  <c r="AJ370" i="2" s="1"/>
  <c r="AE371" i="2"/>
  <c r="AF371" i="2"/>
  <c r="AG371" i="2"/>
  <c r="AH371" i="2" s="1"/>
  <c r="AI371" i="2"/>
  <c r="AJ371" i="2" s="1"/>
  <c r="AE372" i="2"/>
  <c r="AF372" i="2"/>
  <c r="AG372" i="2"/>
  <c r="AH372" i="2" s="1"/>
  <c r="AI372" i="2"/>
  <c r="AJ372" i="2" s="1"/>
  <c r="AE373" i="2"/>
  <c r="AF373" i="2"/>
  <c r="AG373" i="2"/>
  <c r="AH373" i="2" s="1"/>
  <c r="AI373" i="2"/>
  <c r="AJ373" i="2" s="1"/>
  <c r="AE374" i="2"/>
  <c r="AC374" i="2" s="1"/>
  <c r="AF374" i="2"/>
  <c r="AG374" i="2"/>
  <c r="AH374" i="2" s="1"/>
  <c r="AI374" i="2"/>
  <c r="AJ374" i="2" s="1"/>
  <c r="AE375" i="2"/>
  <c r="AF375" i="2"/>
  <c r="AG375" i="2"/>
  <c r="AH375" i="2" s="1"/>
  <c r="AI375" i="2"/>
  <c r="AJ375" i="2" s="1"/>
  <c r="AE376" i="2"/>
  <c r="AF376" i="2"/>
  <c r="AG376" i="2"/>
  <c r="AH376" i="2" s="1"/>
  <c r="AI376" i="2"/>
  <c r="AJ376" i="2" s="1"/>
  <c r="AE377" i="2"/>
  <c r="AF377" i="2"/>
  <c r="AG377" i="2"/>
  <c r="AH377" i="2" s="1"/>
  <c r="AI377" i="2"/>
  <c r="AJ377" i="2" s="1"/>
  <c r="AE378" i="2"/>
  <c r="AC378" i="2" s="1"/>
  <c r="AF378" i="2"/>
  <c r="AG378" i="2"/>
  <c r="AH378" i="2" s="1"/>
  <c r="AI378" i="2"/>
  <c r="AJ378" i="2" s="1"/>
  <c r="AE379" i="2"/>
  <c r="AF379" i="2"/>
  <c r="AG379" i="2"/>
  <c r="AH379" i="2" s="1"/>
  <c r="AI379" i="2"/>
  <c r="AJ379" i="2" s="1"/>
  <c r="AE380" i="2"/>
  <c r="AC380" i="2" s="1"/>
  <c r="AF380" i="2"/>
  <c r="AG380" i="2"/>
  <c r="AH380" i="2" s="1"/>
  <c r="AI380" i="2"/>
  <c r="AJ380" i="2" s="1"/>
  <c r="AE381" i="2"/>
  <c r="AF381" i="2"/>
  <c r="AG381" i="2"/>
  <c r="AH381" i="2" s="1"/>
  <c r="AI381" i="2"/>
  <c r="AJ381" i="2" s="1"/>
  <c r="AE382" i="2"/>
  <c r="AC382" i="2" s="1"/>
  <c r="AF382" i="2"/>
  <c r="AG382" i="2"/>
  <c r="AH382" i="2" s="1"/>
  <c r="AI382" i="2"/>
  <c r="AJ382" i="2" s="1"/>
  <c r="AE383" i="2"/>
  <c r="AC383" i="2" s="1"/>
  <c r="AF383" i="2"/>
  <c r="AG383" i="2"/>
  <c r="AH383" i="2" s="1"/>
  <c r="AI383" i="2"/>
  <c r="AJ383" i="2" s="1"/>
  <c r="AE384" i="2"/>
  <c r="AC384" i="2" s="1"/>
  <c r="AF384" i="2"/>
  <c r="AG384" i="2"/>
  <c r="AH384" i="2" s="1"/>
  <c r="AI384" i="2"/>
  <c r="AJ384" i="2" s="1"/>
  <c r="AE385" i="2"/>
  <c r="AC385" i="2" s="1"/>
  <c r="AF385" i="2"/>
  <c r="AG385" i="2"/>
  <c r="AH385" i="2" s="1"/>
  <c r="AI385" i="2"/>
  <c r="AJ385" i="2" s="1"/>
  <c r="AE386" i="2"/>
  <c r="AC386" i="2" s="1"/>
  <c r="AF386" i="2"/>
  <c r="AG386" i="2"/>
  <c r="AH386" i="2" s="1"/>
  <c r="AI386" i="2"/>
  <c r="AJ386" i="2" s="1"/>
  <c r="AE387" i="2"/>
  <c r="AF387" i="2"/>
  <c r="AG387" i="2"/>
  <c r="AH387" i="2" s="1"/>
  <c r="AI387" i="2"/>
  <c r="AJ387" i="2" s="1"/>
  <c r="AE388" i="2"/>
  <c r="AC388" i="2" s="1"/>
  <c r="AF388" i="2"/>
  <c r="AG388" i="2"/>
  <c r="AH388" i="2" s="1"/>
  <c r="AI388" i="2"/>
  <c r="AJ388" i="2" s="1"/>
  <c r="AE389" i="2"/>
  <c r="AF389" i="2"/>
  <c r="AG389" i="2"/>
  <c r="AH389" i="2" s="1"/>
  <c r="AI389" i="2"/>
  <c r="AJ389" i="2" s="1"/>
  <c r="AE390" i="2"/>
  <c r="AC390" i="2" s="1"/>
  <c r="AF390" i="2"/>
  <c r="AG390" i="2"/>
  <c r="AH390" i="2" s="1"/>
  <c r="AI390" i="2"/>
  <c r="AJ390" i="2" s="1"/>
  <c r="AE391" i="2"/>
  <c r="AF391" i="2"/>
  <c r="AG391" i="2"/>
  <c r="AH391" i="2" s="1"/>
  <c r="AI391" i="2"/>
  <c r="AJ391" i="2" s="1"/>
  <c r="AE392" i="2"/>
  <c r="AC392" i="2" s="1"/>
  <c r="AF392" i="2"/>
  <c r="AG392" i="2"/>
  <c r="AH392" i="2" s="1"/>
  <c r="AI392" i="2"/>
  <c r="AJ392" i="2" s="1"/>
  <c r="AE393" i="2"/>
  <c r="AC393" i="2" s="1"/>
  <c r="AF393" i="2"/>
  <c r="AG393" i="2"/>
  <c r="AH393" i="2" s="1"/>
  <c r="AI393" i="2"/>
  <c r="AJ393" i="2" s="1"/>
  <c r="AE394" i="2"/>
  <c r="AC394" i="2" s="1"/>
  <c r="AF394" i="2"/>
  <c r="AG394" i="2"/>
  <c r="AH394" i="2" s="1"/>
  <c r="AI394" i="2"/>
  <c r="AJ394" i="2" s="1"/>
  <c r="AE395" i="2"/>
  <c r="AF395" i="2"/>
  <c r="AG395" i="2"/>
  <c r="AH395" i="2" s="1"/>
  <c r="AI395" i="2"/>
  <c r="AJ395" i="2" s="1"/>
  <c r="AE396" i="2"/>
  <c r="AC396" i="2" s="1"/>
  <c r="AF396" i="2"/>
  <c r="AG396" i="2"/>
  <c r="AH396" i="2" s="1"/>
  <c r="AI396" i="2"/>
  <c r="AJ396" i="2" s="1"/>
  <c r="AE397" i="2"/>
  <c r="AF397" i="2"/>
  <c r="AG397" i="2"/>
  <c r="AH397" i="2" s="1"/>
  <c r="AI397" i="2"/>
  <c r="AJ397" i="2" s="1"/>
  <c r="AE398" i="2"/>
  <c r="AC398" i="2" s="1"/>
  <c r="AF398" i="2"/>
  <c r="AG398" i="2"/>
  <c r="AH398" i="2" s="1"/>
  <c r="AI398" i="2"/>
  <c r="AJ398" i="2" s="1"/>
  <c r="AE399" i="2"/>
  <c r="AC399" i="2" s="1"/>
  <c r="AF399" i="2"/>
  <c r="AG399" i="2"/>
  <c r="AH399" i="2" s="1"/>
  <c r="AI399" i="2"/>
  <c r="AJ399" i="2" s="1"/>
  <c r="AE400" i="2"/>
  <c r="AC400" i="2" s="1"/>
  <c r="AF400" i="2"/>
  <c r="AG400" i="2"/>
  <c r="AH400" i="2" s="1"/>
  <c r="AI400" i="2"/>
  <c r="AJ400" i="2" s="1"/>
  <c r="AE401" i="2"/>
  <c r="AC401" i="2" s="1"/>
  <c r="AF401" i="2"/>
  <c r="AG401" i="2"/>
  <c r="AH401" i="2" s="1"/>
  <c r="AI401" i="2"/>
  <c r="AJ401" i="2" s="1"/>
  <c r="AE402" i="2"/>
  <c r="AC402" i="2" s="1"/>
  <c r="AF402" i="2"/>
  <c r="AG402" i="2"/>
  <c r="AH402" i="2" s="1"/>
  <c r="AI402" i="2"/>
  <c r="AJ402" i="2" s="1"/>
  <c r="AE403" i="2"/>
  <c r="AF403" i="2"/>
  <c r="AG403" i="2"/>
  <c r="AH403" i="2" s="1"/>
  <c r="AI403" i="2"/>
  <c r="AJ403" i="2" s="1"/>
  <c r="AE404" i="2"/>
  <c r="AC404" i="2" s="1"/>
  <c r="AF404" i="2"/>
  <c r="AG404" i="2"/>
  <c r="AH404" i="2" s="1"/>
  <c r="AI404" i="2"/>
  <c r="AJ404" i="2" s="1"/>
  <c r="AE405" i="2"/>
  <c r="AF405" i="2"/>
  <c r="AG405" i="2"/>
  <c r="AH405" i="2" s="1"/>
  <c r="AI405" i="2"/>
  <c r="AJ405" i="2" s="1"/>
  <c r="AE406" i="2"/>
  <c r="AC406" i="2" s="1"/>
  <c r="AF406" i="2"/>
  <c r="AG406" i="2"/>
  <c r="AH406" i="2" s="1"/>
  <c r="AI406" i="2"/>
  <c r="AJ406" i="2" s="1"/>
  <c r="AE407" i="2"/>
  <c r="AC407" i="2" s="1"/>
  <c r="AF407" i="2"/>
  <c r="AG407" i="2"/>
  <c r="AH407" i="2" s="1"/>
  <c r="AI407" i="2"/>
  <c r="AJ407" i="2" s="1"/>
  <c r="AE408" i="2"/>
  <c r="AC408" i="2" s="1"/>
  <c r="AF408" i="2"/>
  <c r="AG408" i="2"/>
  <c r="AH408" i="2" s="1"/>
  <c r="AI408" i="2"/>
  <c r="AJ408" i="2" s="1"/>
  <c r="AE409" i="2"/>
  <c r="AC409" i="2" s="1"/>
  <c r="AF409" i="2"/>
  <c r="AG409" i="2"/>
  <c r="AH409" i="2" s="1"/>
  <c r="AI409" i="2"/>
  <c r="AJ409" i="2" s="1"/>
  <c r="AE410" i="2"/>
  <c r="AC410" i="2" s="1"/>
  <c r="AF410" i="2"/>
  <c r="AG410" i="2"/>
  <c r="AH410" i="2" s="1"/>
  <c r="AI410" i="2"/>
  <c r="AJ410" i="2" s="1"/>
  <c r="AE411" i="2"/>
  <c r="AF411" i="2"/>
  <c r="AG411" i="2"/>
  <c r="AH411" i="2" s="1"/>
  <c r="AI411" i="2"/>
  <c r="AJ411" i="2" s="1"/>
  <c r="AE412" i="2"/>
  <c r="AC412" i="2" s="1"/>
  <c r="AF412" i="2"/>
  <c r="AG412" i="2"/>
  <c r="AH412" i="2" s="1"/>
  <c r="AI412" i="2"/>
  <c r="AJ412" i="2" s="1"/>
  <c r="AE413" i="2"/>
  <c r="AF413" i="2"/>
  <c r="AG413" i="2"/>
  <c r="AH413" i="2" s="1"/>
  <c r="AI413" i="2"/>
  <c r="AJ413" i="2" s="1"/>
  <c r="AE414" i="2"/>
  <c r="AC414" i="2" s="1"/>
  <c r="AF414" i="2"/>
  <c r="AG414" i="2"/>
  <c r="AH414" i="2" s="1"/>
  <c r="AI414" i="2"/>
  <c r="AJ414" i="2" s="1"/>
  <c r="AE415" i="2"/>
  <c r="AC415" i="2" s="1"/>
  <c r="AF415" i="2"/>
  <c r="AG415" i="2"/>
  <c r="AH415" i="2" s="1"/>
  <c r="AI415" i="2"/>
  <c r="AJ415" i="2" s="1"/>
  <c r="AE416" i="2"/>
  <c r="AC416" i="2" s="1"/>
  <c r="AF416" i="2"/>
  <c r="AG416" i="2"/>
  <c r="AH416" i="2" s="1"/>
  <c r="AI416" i="2"/>
  <c r="AJ416" i="2" s="1"/>
  <c r="AE417" i="2"/>
  <c r="AC417" i="2" s="1"/>
  <c r="AF417" i="2"/>
  <c r="AG417" i="2"/>
  <c r="AH417" i="2" s="1"/>
  <c r="AI417" i="2"/>
  <c r="AJ417" i="2" s="1"/>
  <c r="AE418" i="2"/>
  <c r="AC418" i="2" s="1"/>
  <c r="AF418" i="2"/>
  <c r="AG418" i="2"/>
  <c r="AH418" i="2" s="1"/>
  <c r="AI418" i="2"/>
  <c r="AJ418" i="2" s="1"/>
  <c r="AE419" i="2"/>
  <c r="AF419" i="2"/>
  <c r="AG419" i="2"/>
  <c r="AH419" i="2" s="1"/>
  <c r="AI419" i="2"/>
  <c r="AJ419" i="2" s="1"/>
  <c r="AE420" i="2"/>
  <c r="AC420" i="2" s="1"/>
  <c r="AF420" i="2"/>
  <c r="AG420" i="2"/>
  <c r="AH420" i="2" s="1"/>
  <c r="AI420" i="2"/>
  <c r="AJ420" i="2" s="1"/>
  <c r="AE421" i="2"/>
  <c r="AF421" i="2"/>
  <c r="AG421" i="2"/>
  <c r="AH421" i="2" s="1"/>
  <c r="AI421" i="2"/>
  <c r="AJ421" i="2" s="1"/>
  <c r="AE422" i="2"/>
  <c r="AC422" i="2" s="1"/>
  <c r="AF422" i="2"/>
  <c r="AG422" i="2"/>
  <c r="AH422" i="2" s="1"/>
  <c r="AI422" i="2"/>
  <c r="AJ422" i="2" s="1"/>
  <c r="AE423" i="2"/>
  <c r="AF423" i="2"/>
  <c r="AG423" i="2"/>
  <c r="AH423" i="2" s="1"/>
  <c r="AI423" i="2"/>
  <c r="AJ423" i="2" s="1"/>
  <c r="AE424" i="2"/>
  <c r="AC424" i="2" s="1"/>
  <c r="AF424" i="2"/>
  <c r="AG424" i="2"/>
  <c r="AH424" i="2" s="1"/>
  <c r="AI424" i="2"/>
  <c r="AJ424" i="2" s="1"/>
  <c r="AE425" i="2"/>
  <c r="AC425" i="2" s="1"/>
  <c r="AF425" i="2"/>
  <c r="AG425" i="2"/>
  <c r="AH425" i="2" s="1"/>
  <c r="AI425" i="2"/>
  <c r="AJ425" i="2" s="1"/>
  <c r="AE426" i="2"/>
  <c r="AC426" i="2" s="1"/>
  <c r="AF426" i="2"/>
  <c r="AG426" i="2"/>
  <c r="AH426" i="2" s="1"/>
  <c r="AI426" i="2"/>
  <c r="AJ426" i="2" s="1"/>
  <c r="AE427" i="2"/>
  <c r="AF427" i="2"/>
  <c r="AG427" i="2"/>
  <c r="AH427" i="2" s="1"/>
  <c r="AI427" i="2"/>
  <c r="AJ427" i="2" s="1"/>
  <c r="AE428" i="2"/>
  <c r="AC428" i="2" s="1"/>
  <c r="AF428" i="2"/>
  <c r="AG428" i="2"/>
  <c r="AH428" i="2" s="1"/>
  <c r="AI428" i="2"/>
  <c r="AJ428" i="2" s="1"/>
  <c r="AE429" i="2"/>
  <c r="AF429" i="2"/>
  <c r="AG429" i="2"/>
  <c r="AH429" i="2" s="1"/>
  <c r="AI429" i="2"/>
  <c r="AJ429" i="2" s="1"/>
  <c r="AE430" i="2"/>
  <c r="AC430" i="2" s="1"/>
  <c r="AF430" i="2"/>
  <c r="AG430" i="2"/>
  <c r="AH430" i="2" s="1"/>
  <c r="AI430" i="2"/>
  <c r="AJ430" i="2" s="1"/>
  <c r="AE431" i="2"/>
  <c r="AF431" i="2"/>
  <c r="AG431" i="2"/>
  <c r="AH431" i="2" s="1"/>
  <c r="AI431" i="2"/>
  <c r="AJ431" i="2" s="1"/>
  <c r="AE432" i="2"/>
  <c r="AC432" i="2" s="1"/>
  <c r="AF432" i="2"/>
  <c r="AG432" i="2"/>
  <c r="AH432" i="2" s="1"/>
  <c r="AI432" i="2"/>
  <c r="AJ432" i="2" s="1"/>
  <c r="AE433" i="2"/>
  <c r="AC433" i="2" s="1"/>
  <c r="AF433" i="2"/>
  <c r="AG433" i="2"/>
  <c r="AH433" i="2" s="1"/>
  <c r="AI433" i="2"/>
  <c r="AJ433" i="2" s="1"/>
  <c r="AE434" i="2"/>
  <c r="AC434" i="2" s="1"/>
  <c r="AF434" i="2"/>
  <c r="AG434" i="2"/>
  <c r="AH434" i="2" s="1"/>
  <c r="AI434" i="2"/>
  <c r="AJ434" i="2" s="1"/>
  <c r="AE435" i="2"/>
  <c r="AF435" i="2"/>
  <c r="AG435" i="2"/>
  <c r="AH435" i="2" s="1"/>
  <c r="AI435" i="2"/>
  <c r="AJ435" i="2" s="1"/>
  <c r="AE436" i="2"/>
  <c r="AC436" i="2" s="1"/>
  <c r="AF436" i="2"/>
  <c r="AG436" i="2"/>
  <c r="AH436" i="2" s="1"/>
  <c r="AI436" i="2"/>
  <c r="AJ436" i="2" s="1"/>
  <c r="AE437" i="2"/>
  <c r="AF437" i="2"/>
  <c r="AG437" i="2"/>
  <c r="AH437" i="2" s="1"/>
  <c r="AI437" i="2"/>
  <c r="AJ437" i="2" s="1"/>
  <c r="AE438" i="2"/>
  <c r="AC438" i="2" s="1"/>
  <c r="AF438" i="2"/>
  <c r="AG438" i="2"/>
  <c r="AH438" i="2" s="1"/>
  <c r="AI438" i="2"/>
  <c r="AJ438" i="2" s="1"/>
  <c r="AE439" i="2"/>
  <c r="AC439" i="2" s="1"/>
  <c r="AF439" i="2"/>
  <c r="AG439" i="2"/>
  <c r="AH439" i="2" s="1"/>
  <c r="AI439" i="2"/>
  <c r="AJ439" i="2" s="1"/>
  <c r="AE440" i="2"/>
  <c r="AC440" i="2" s="1"/>
  <c r="AF440" i="2"/>
  <c r="AG440" i="2"/>
  <c r="AH440" i="2" s="1"/>
  <c r="AI440" i="2"/>
  <c r="AJ440" i="2" s="1"/>
  <c r="AE441" i="2"/>
  <c r="AC441" i="2" s="1"/>
  <c r="AF441" i="2"/>
  <c r="AG441" i="2"/>
  <c r="AH441" i="2" s="1"/>
  <c r="AI441" i="2"/>
  <c r="AJ441" i="2" s="1"/>
  <c r="AE442" i="2"/>
  <c r="AC442" i="2" s="1"/>
  <c r="AF442" i="2"/>
  <c r="AG442" i="2"/>
  <c r="AH442" i="2" s="1"/>
  <c r="AI442" i="2"/>
  <c r="AJ442" i="2" s="1"/>
  <c r="AE443" i="2"/>
  <c r="AC443" i="2" s="1"/>
  <c r="AF443" i="2"/>
  <c r="AG443" i="2"/>
  <c r="AH443" i="2" s="1"/>
  <c r="AI443" i="2"/>
  <c r="AJ443" i="2" s="1"/>
  <c r="AE444" i="2"/>
  <c r="AC444" i="2" s="1"/>
  <c r="AF444" i="2"/>
  <c r="AG444" i="2"/>
  <c r="AH444" i="2" s="1"/>
  <c r="AI444" i="2"/>
  <c r="AJ444" i="2" s="1"/>
  <c r="AE445" i="2"/>
  <c r="AC445" i="2" s="1"/>
  <c r="AF445" i="2"/>
  <c r="AG445" i="2"/>
  <c r="AH445" i="2" s="1"/>
  <c r="AI445" i="2"/>
  <c r="AJ445" i="2" s="1"/>
  <c r="AE446" i="2"/>
  <c r="AC446" i="2" s="1"/>
  <c r="AF446" i="2"/>
  <c r="AG446" i="2"/>
  <c r="AH446" i="2" s="1"/>
  <c r="AI446" i="2"/>
  <c r="AJ446" i="2" s="1"/>
  <c r="AE447" i="2"/>
  <c r="AC447" i="2" s="1"/>
  <c r="AF447" i="2"/>
  <c r="AG447" i="2"/>
  <c r="AH447" i="2" s="1"/>
  <c r="AI447" i="2"/>
  <c r="AJ447" i="2" s="1"/>
  <c r="AE448" i="2"/>
  <c r="AC448" i="2" s="1"/>
  <c r="AF448" i="2"/>
  <c r="AG448" i="2"/>
  <c r="AH448" i="2" s="1"/>
  <c r="AI448" i="2"/>
  <c r="AJ448" i="2" s="1"/>
  <c r="AE449" i="2"/>
  <c r="AC449" i="2" s="1"/>
  <c r="AF449" i="2"/>
  <c r="AG449" i="2"/>
  <c r="AH449" i="2" s="1"/>
  <c r="AI449" i="2"/>
  <c r="AJ449" i="2" s="1"/>
  <c r="AE450" i="2"/>
  <c r="AC450" i="2" s="1"/>
  <c r="AF450" i="2"/>
  <c r="AG450" i="2"/>
  <c r="AH450" i="2" s="1"/>
  <c r="AI450" i="2"/>
  <c r="AJ450" i="2" s="1"/>
  <c r="AE451" i="2"/>
  <c r="AC451" i="2" s="1"/>
  <c r="AF451" i="2"/>
  <c r="AG451" i="2"/>
  <c r="AH451" i="2" s="1"/>
  <c r="AI451" i="2"/>
  <c r="AJ451" i="2" s="1"/>
  <c r="AE452" i="2"/>
  <c r="AC452" i="2" s="1"/>
  <c r="AF452" i="2"/>
  <c r="AG452" i="2"/>
  <c r="AH452" i="2" s="1"/>
  <c r="AI452" i="2"/>
  <c r="AJ452" i="2" s="1"/>
  <c r="AE453" i="2"/>
  <c r="AC453" i="2" s="1"/>
  <c r="AF453" i="2"/>
  <c r="AG453" i="2"/>
  <c r="AH453" i="2" s="1"/>
  <c r="AI453" i="2"/>
  <c r="AJ453" i="2" s="1"/>
  <c r="AE454" i="2"/>
  <c r="AC454" i="2" s="1"/>
  <c r="AF454" i="2"/>
  <c r="AG454" i="2"/>
  <c r="AH454" i="2" s="1"/>
  <c r="AI454" i="2"/>
  <c r="AJ454" i="2" s="1"/>
  <c r="AE455" i="2"/>
  <c r="AC455" i="2" s="1"/>
  <c r="AF455" i="2"/>
  <c r="AG455" i="2"/>
  <c r="AH455" i="2" s="1"/>
  <c r="AI455" i="2"/>
  <c r="AJ455" i="2" s="1"/>
  <c r="AE4" i="2"/>
  <c r="AC4" i="2" s="1"/>
  <c r="AF4" i="2"/>
  <c r="AG4" i="2"/>
  <c r="P19" i="2"/>
  <c r="Q19" i="2" s="1"/>
  <c r="P21" i="2"/>
  <c r="Q21" i="2" s="1"/>
  <c r="P24" i="2"/>
  <c r="Q24" i="2" s="1"/>
  <c r="P28" i="2"/>
  <c r="Q28" i="2" s="1"/>
  <c r="P30" i="2"/>
  <c r="Q30" i="2" s="1"/>
  <c r="P33" i="2"/>
  <c r="Q33" i="2" s="1"/>
  <c r="P38" i="2"/>
  <c r="Q38" i="2" s="1"/>
  <c r="P42" i="2"/>
  <c r="Q42" i="2" s="1"/>
  <c r="P45" i="2"/>
  <c r="Q45" i="2" s="1"/>
  <c r="P48" i="2"/>
  <c r="Q48" i="2" s="1"/>
  <c r="P51" i="2"/>
  <c r="Q51" i="2" s="1"/>
  <c r="P53" i="2"/>
  <c r="Q53" i="2" s="1"/>
  <c r="P55" i="2"/>
  <c r="Q55" i="2" s="1"/>
  <c r="P57" i="2"/>
  <c r="Q57" i="2" s="1"/>
  <c r="P59" i="2"/>
  <c r="Q59" i="2" s="1"/>
  <c r="P60" i="2"/>
  <c r="Q60" i="2" s="1"/>
  <c r="P61" i="2"/>
  <c r="Q61" i="2" s="1"/>
  <c r="P62" i="2"/>
  <c r="Q62" i="2" s="1"/>
  <c r="P63" i="2"/>
  <c r="Q63" i="2" s="1"/>
  <c r="P64" i="2"/>
  <c r="Q64" i="2" s="1"/>
  <c r="P65" i="2"/>
  <c r="Q65" i="2" s="1"/>
  <c r="P66" i="2"/>
  <c r="Q66" i="2" s="1"/>
  <c r="P67" i="2"/>
  <c r="Q67" i="2" s="1"/>
  <c r="P68" i="2"/>
  <c r="Q68" i="2" s="1"/>
  <c r="P69" i="2"/>
  <c r="Q69" i="2" s="1"/>
  <c r="P70" i="2"/>
  <c r="Q70" i="2" s="1"/>
  <c r="P71" i="2"/>
  <c r="Q71" i="2" s="1"/>
  <c r="P72" i="2"/>
  <c r="Q72" i="2" s="1"/>
  <c r="P73" i="2"/>
  <c r="Q73" i="2" s="1"/>
  <c r="P74" i="2"/>
  <c r="Q74" i="2" s="1"/>
  <c r="P75" i="2"/>
  <c r="Q75" i="2" s="1"/>
  <c r="P76" i="2"/>
  <c r="Q76" i="2" s="1"/>
  <c r="P77" i="2"/>
  <c r="Q77" i="2" s="1"/>
  <c r="P78" i="2"/>
  <c r="Q78" i="2" s="1"/>
  <c r="P79" i="2"/>
  <c r="Q79" i="2" s="1"/>
  <c r="P80" i="2"/>
  <c r="Q80" i="2" s="1"/>
  <c r="P81" i="2"/>
  <c r="Q81" i="2" s="1"/>
  <c r="P82" i="2"/>
  <c r="Q82" i="2" s="1"/>
  <c r="P83" i="2"/>
  <c r="Q83" i="2" s="1"/>
  <c r="P84" i="2"/>
  <c r="Q84" i="2" s="1"/>
  <c r="P85" i="2"/>
  <c r="Q85" i="2" s="1"/>
  <c r="P86" i="2"/>
  <c r="Q86" i="2" s="1"/>
  <c r="P87" i="2"/>
  <c r="Q87" i="2" s="1"/>
  <c r="P88" i="2"/>
  <c r="Q88" i="2" s="1"/>
  <c r="P89" i="2"/>
  <c r="Q89" i="2" s="1"/>
  <c r="P90" i="2"/>
  <c r="Q90" i="2" s="1"/>
  <c r="P91" i="2"/>
  <c r="Q91" i="2" s="1"/>
  <c r="P92" i="2"/>
  <c r="Q92" i="2" s="1"/>
  <c r="P93" i="2"/>
  <c r="Q93" i="2" s="1"/>
  <c r="P94" i="2"/>
  <c r="Q94" i="2" s="1"/>
  <c r="P95" i="2"/>
  <c r="Q95" i="2" s="1"/>
  <c r="P96" i="2"/>
  <c r="Q96" i="2" s="1"/>
  <c r="P97" i="2"/>
  <c r="Q97" i="2" s="1"/>
  <c r="P98" i="2"/>
  <c r="Q98" i="2" s="1"/>
  <c r="P99" i="2"/>
  <c r="Q99" i="2" s="1"/>
  <c r="P100" i="2"/>
  <c r="Q100" i="2" s="1"/>
  <c r="P101" i="2"/>
  <c r="Q101" i="2" s="1"/>
  <c r="P102" i="2"/>
  <c r="Q102" i="2" s="1"/>
  <c r="P103" i="2"/>
  <c r="Q103" i="2" s="1"/>
  <c r="P104" i="2"/>
  <c r="Q104" i="2" s="1"/>
  <c r="P105" i="2"/>
  <c r="Q105" i="2" s="1"/>
  <c r="P106" i="2"/>
  <c r="Q106" i="2" s="1"/>
  <c r="P107" i="2"/>
  <c r="Q107" i="2" s="1"/>
  <c r="P108" i="2"/>
  <c r="Q108" i="2" s="1"/>
  <c r="P109" i="2"/>
  <c r="Q109" i="2" s="1"/>
  <c r="P110" i="2"/>
  <c r="Q110" i="2" s="1"/>
  <c r="P111" i="2"/>
  <c r="Q111" i="2" s="1"/>
  <c r="P112" i="2"/>
  <c r="Q112" i="2" s="1"/>
  <c r="P113" i="2"/>
  <c r="Q113" i="2" s="1"/>
  <c r="P114" i="2"/>
  <c r="Q114" i="2" s="1"/>
  <c r="P115" i="2"/>
  <c r="Q115" i="2" s="1"/>
  <c r="P116" i="2"/>
  <c r="Q116" i="2" s="1"/>
  <c r="P117" i="2"/>
  <c r="Q117" i="2" s="1"/>
  <c r="P118" i="2"/>
  <c r="Q118" i="2" s="1"/>
  <c r="P119" i="2"/>
  <c r="Q119" i="2" s="1"/>
  <c r="P120" i="2"/>
  <c r="Q120" i="2" s="1"/>
  <c r="P121" i="2"/>
  <c r="Q121" i="2" s="1"/>
  <c r="P122" i="2"/>
  <c r="Q122" i="2" s="1"/>
  <c r="P123" i="2"/>
  <c r="Q123" i="2" s="1"/>
  <c r="P124" i="2"/>
  <c r="Q124" i="2" s="1"/>
  <c r="P125" i="2"/>
  <c r="Q125" i="2" s="1"/>
  <c r="P126" i="2"/>
  <c r="Q126" i="2" s="1"/>
  <c r="P127" i="2"/>
  <c r="Q127" i="2" s="1"/>
  <c r="P128" i="2"/>
  <c r="Q128" i="2" s="1"/>
  <c r="P129" i="2"/>
  <c r="Q129" i="2" s="1"/>
  <c r="P130" i="2"/>
  <c r="Q130" i="2" s="1"/>
  <c r="P131" i="2"/>
  <c r="Q131" i="2" s="1"/>
  <c r="P132" i="2"/>
  <c r="Q132" i="2" s="1"/>
  <c r="P133" i="2"/>
  <c r="Q133" i="2" s="1"/>
  <c r="P134" i="2"/>
  <c r="Q134" i="2" s="1"/>
  <c r="P135" i="2"/>
  <c r="Q135" i="2" s="1"/>
  <c r="P136" i="2"/>
  <c r="Q136" i="2" s="1"/>
  <c r="P137" i="2"/>
  <c r="Q137" i="2" s="1"/>
  <c r="P138" i="2"/>
  <c r="Q138" i="2" s="1"/>
  <c r="P139" i="2"/>
  <c r="Q139" i="2" s="1"/>
  <c r="P140" i="2"/>
  <c r="Q140" i="2" s="1"/>
  <c r="P141" i="2"/>
  <c r="Q141" i="2" s="1"/>
  <c r="P142" i="2"/>
  <c r="Q142" i="2" s="1"/>
  <c r="P143" i="2"/>
  <c r="Q143" i="2" s="1"/>
  <c r="P144" i="2"/>
  <c r="Q144" i="2" s="1"/>
  <c r="P145" i="2"/>
  <c r="Q145" i="2" s="1"/>
  <c r="P146" i="2"/>
  <c r="Q146" i="2" s="1"/>
  <c r="P147" i="2"/>
  <c r="Q147" i="2" s="1"/>
  <c r="P148" i="2"/>
  <c r="Q148" i="2" s="1"/>
  <c r="P149" i="2"/>
  <c r="Q149" i="2" s="1"/>
  <c r="P150" i="2"/>
  <c r="Q150" i="2" s="1"/>
  <c r="P151" i="2"/>
  <c r="Q151" i="2" s="1"/>
  <c r="P152" i="2"/>
  <c r="Q152" i="2" s="1"/>
  <c r="P153" i="2"/>
  <c r="Q153" i="2" s="1"/>
  <c r="P154" i="2"/>
  <c r="Q154" i="2" s="1"/>
  <c r="P155" i="2"/>
  <c r="Q155" i="2" s="1"/>
  <c r="P156" i="2"/>
  <c r="Q156" i="2" s="1"/>
  <c r="P157" i="2"/>
  <c r="Q157" i="2" s="1"/>
  <c r="P158" i="2"/>
  <c r="Q158" i="2" s="1"/>
  <c r="P159" i="2"/>
  <c r="Q159" i="2" s="1"/>
  <c r="P160" i="2"/>
  <c r="Q160" i="2" s="1"/>
  <c r="P161" i="2"/>
  <c r="Q161" i="2" s="1"/>
  <c r="P162" i="2"/>
  <c r="Q162" i="2" s="1"/>
  <c r="P163" i="2"/>
  <c r="Q163" i="2" s="1"/>
  <c r="P164" i="2"/>
  <c r="Q164" i="2" s="1"/>
  <c r="P165" i="2"/>
  <c r="Q165" i="2" s="1"/>
  <c r="P166" i="2"/>
  <c r="Q166" i="2" s="1"/>
  <c r="P167" i="2"/>
  <c r="Q167" i="2" s="1"/>
  <c r="P168" i="2"/>
  <c r="Q168" i="2" s="1"/>
  <c r="P169" i="2"/>
  <c r="Q169" i="2" s="1"/>
  <c r="P170" i="2"/>
  <c r="Q170" i="2" s="1"/>
  <c r="P171" i="2"/>
  <c r="Q171" i="2" s="1"/>
  <c r="P172" i="2"/>
  <c r="Q172" i="2" s="1"/>
  <c r="P173" i="2"/>
  <c r="Q173" i="2" s="1"/>
  <c r="P174" i="2"/>
  <c r="Q174" i="2" s="1"/>
  <c r="P175" i="2"/>
  <c r="Q175" i="2" s="1"/>
  <c r="P176" i="2"/>
  <c r="Q176" i="2" s="1"/>
  <c r="P177" i="2"/>
  <c r="Q177" i="2" s="1"/>
  <c r="P178" i="2"/>
  <c r="Q178" i="2" s="1"/>
  <c r="P179" i="2"/>
  <c r="Q179" i="2" s="1"/>
  <c r="P180" i="2"/>
  <c r="Q180" i="2" s="1"/>
  <c r="P181" i="2"/>
  <c r="Q181" i="2" s="1"/>
  <c r="P182" i="2"/>
  <c r="Q182" i="2" s="1"/>
  <c r="P183" i="2"/>
  <c r="Q183" i="2" s="1"/>
  <c r="P184" i="2"/>
  <c r="Q184" i="2" s="1"/>
  <c r="P185" i="2"/>
  <c r="Q185" i="2" s="1"/>
  <c r="P186" i="2"/>
  <c r="Q186" i="2" s="1"/>
  <c r="P187" i="2"/>
  <c r="Q187" i="2" s="1"/>
  <c r="P188" i="2"/>
  <c r="Q188" i="2" s="1"/>
  <c r="P189" i="2"/>
  <c r="Q189" i="2" s="1"/>
  <c r="P190" i="2"/>
  <c r="Q190" i="2" s="1"/>
  <c r="P191" i="2"/>
  <c r="Q191" i="2" s="1"/>
  <c r="P192" i="2"/>
  <c r="Q192" i="2" s="1"/>
  <c r="P193" i="2"/>
  <c r="Q193" i="2" s="1"/>
  <c r="P194" i="2"/>
  <c r="Q194" i="2" s="1"/>
  <c r="P195" i="2"/>
  <c r="Q195" i="2" s="1"/>
  <c r="P196" i="2"/>
  <c r="Q196" i="2" s="1"/>
  <c r="P197" i="2"/>
  <c r="Q197" i="2" s="1"/>
  <c r="P198" i="2"/>
  <c r="Q198" i="2" s="1"/>
  <c r="P199" i="2"/>
  <c r="Q199" i="2" s="1"/>
  <c r="P200" i="2"/>
  <c r="Q200" i="2" s="1"/>
  <c r="P201" i="2"/>
  <c r="Q201" i="2" s="1"/>
  <c r="P202" i="2"/>
  <c r="Q202" i="2" s="1"/>
  <c r="P203" i="2"/>
  <c r="Q203" i="2" s="1"/>
  <c r="P204" i="2"/>
  <c r="Q204" i="2" s="1"/>
  <c r="P205" i="2"/>
  <c r="Q205" i="2" s="1"/>
  <c r="P206" i="2"/>
  <c r="Q206" i="2" s="1"/>
  <c r="P207" i="2"/>
  <c r="Q207" i="2" s="1"/>
  <c r="P208" i="2"/>
  <c r="Q208" i="2" s="1"/>
  <c r="P209" i="2"/>
  <c r="Q209" i="2" s="1"/>
  <c r="P210" i="2"/>
  <c r="Q210" i="2" s="1"/>
  <c r="P211" i="2"/>
  <c r="Q211" i="2" s="1"/>
  <c r="P212" i="2"/>
  <c r="Q212" i="2" s="1"/>
  <c r="P213" i="2"/>
  <c r="Q213" i="2" s="1"/>
  <c r="P214" i="2"/>
  <c r="Q214" i="2" s="1"/>
  <c r="P215" i="2"/>
  <c r="Q215" i="2" s="1"/>
  <c r="P216" i="2"/>
  <c r="Q216" i="2" s="1"/>
  <c r="P217" i="2"/>
  <c r="Q217" i="2" s="1"/>
  <c r="P218" i="2"/>
  <c r="Q218" i="2" s="1"/>
  <c r="P219" i="2"/>
  <c r="Q219" i="2" s="1"/>
  <c r="P220" i="2"/>
  <c r="Q220" i="2" s="1"/>
  <c r="P221" i="2"/>
  <c r="Q221" i="2" s="1"/>
  <c r="P222" i="2"/>
  <c r="Q222" i="2" s="1"/>
  <c r="P223" i="2"/>
  <c r="Q223" i="2" s="1"/>
  <c r="P224" i="2"/>
  <c r="Q224" i="2" s="1"/>
  <c r="P225" i="2"/>
  <c r="Q225" i="2" s="1"/>
  <c r="P226" i="2"/>
  <c r="Q226" i="2" s="1"/>
  <c r="P227" i="2"/>
  <c r="Q227" i="2" s="1"/>
  <c r="P228" i="2"/>
  <c r="Q228" i="2" s="1"/>
  <c r="P229" i="2"/>
  <c r="Q229" i="2" s="1"/>
  <c r="P230" i="2"/>
  <c r="Q230" i="2" s="1"/>
  <c r="P231" i="2"/>
  <c r="Q231" i="2" s="1"/>
  <c r="P232" i="2"/>
  <c r="Q232" i="2" s="1"/>
  <c r="P233" i="2"/>
  <c r="Q233" i="2" s="1"/>
  <c r="P234" i="2"/>
  <c r="Q234" i="2" s="1"/>
  <c r="P235" i="2"/>
  <c r="Q235" i="2" s="1"/>
  <c r="P236" i="2"/>
  <c r="Q236" i="2" s="1"/>
  <c r="P237" i="2"/>
  <c r="Q237" i="2" s="1"/>
  <c r="P238" i="2"/>
  <c r="Q238" i="2" s="1"/>
  <c r="P239" i="2"/>
  <c r="Q239" i="2" s="1"/>
  <c r="P240" i="2"/>
  <c r="Q240" i="2" s="1"/>
  <c r="P241" i="2"/>
  <c r="Q241" i="2" s="1"/>
  <c r="P242" i="2"/>
  <c r="Q242" i="2" s="1"/>
  <c r="P243" i="2"/>
  <c r="Q243" i="2" s="1"/>
  <c r="P244" i="2"/>
  <c r="Q244" i="2" s="1"/>
  <c r="P245" i="2"/>
  <c r="Q245" i="2" s="1"/>
  <c r="P246" i="2"/>
  <c r="Q246" i="2" s="1"/>
  <c r="P247" i="2"/>
  <c r="Q247" i="2" s="1"/>
  <c r="P248" i="2"/>
  <c r="Q248" i="2" s="1"/>
  <c r="P249" i="2"/>
  <c r="Q249" i="2" s="1"/>
  <c r="P250" i="2"/>
  <c r="Q250" i="2" s="1"/>
  <c r="P251" i="2"/>
  <c r="Q251" i="2" s="1"/>
  <c r="P252" i="2"/>
  <c r="Q252" i="2" s="1"/>
  <c r="P253" i="2"/>
  <c r="Q253" i="2" s="1"/>
  <c r="P254" i="2"/>
  <c r="Q254" i="2" s="1"/>
  <c r="P255" i="2"/>
  <c r="Q255" i="2" s="1"/>
  <c r="P256" i="2"/>
  <c r="Q256" i="2" s="1"/>
  <c r="P257" i="2"/>
  <c r="Q257" i="2" s="1"/>
  <c r="P258" i="2"/>
  <c r="Q258" i="2" s="1"/>
  <c r="P259" i="2"/>
  <c r="Q259" i="2" s="1"/>
  <c r="P260" i="2"/>
  <c r="Q260" i="2" s="1"/>
  <c r="P261" i="2"/>
  <c r="Q261" i="2" s="1"/>
  <c r="P262" i="2"/>
  <c r="Q262" i="2" s="1"/>
  <c r="P263" i="2"/>
  <c r="Q263" i="2" s="1"/>
  <c r="P264" i="2"/>
  <c r="Q264" i="2" s="1"/>
  <c r="P265" i="2"/>
  <c r="Q265" i="2" s="1"/>
  <c r="P266" i="2"/>
  <c r="Q266" i="2" s="1"/>
  <c r="P267" i="2"/>
  <c r="Q267" i="2" s="1"/>
  <c r="P268" i="2"/>
  <c r="Q268" i="2" s="1"/>
  <c r="P269" i="2"/>
  <c r="Q269" i="2" s="1"/>
  <c r="P270" i="2"/>
  <c r="Q270" i="2" s="1"/>
  <c r="P271" i="2"/>
  <c r="Q271" i="2" s="1"/>
  <c r="P272" i="2"/>
  <c r="Q272" i="2" s="1"/>
  <c r="P273" i="2"/>
  <c r="Q273" i="2" s="1"/>
  <c r="P274" i="2"/>
  <c r="Q274" i="2" s="1"/>
  <c r="P275" i="2"/>
  <c r="Q275" i="2" s="1"/>
  <c r="P276" i="2"/>
  <c r="Q276" i="2" s="1"/>
  <c r="P277" i="2"/>
  <c r="Q277" i="2" s="1"/>
  <c r="P278" i="2"/>
  <c r="Q278" i="2" s="1"/>
  <c r="P279" i="2"/>
  <c r="Q279" i="2" s="1"/>
  <c r="P280" i="2"/>
  <c r="Q280" i="2" s="1"/>
  <c r="P281" i="2"/>
  <c r="Q281" i="2" s="1"/>
  <c r="P282" i="2"/>
  <c r="Q282" i="2" s="1"/>
  <c r="P283" i="2"/>
  <c r="Q283" i="2" s="1"/>
  <c r="P284" i="2"/>
  <c r="Q284" i="2" s="1"/>
  <c r="P285" i="2"/>
  <c r="Q285" i="2" s="1"/>
  <c r="P286" i="2"/>
  <c r="Q286" i="2" s="1"/>
  <c r="P287" i="2"/>
  <c r="Q287" i="2" s="1"/>
  <c r="P288" i="2"/>
  <c r="Q288" i="2" s="1"/>
  <c r="P289" i="2"/>
  <c r="Q289" i="2" s="1"/>
  <c r="P290" i="2"/>
  <c r="Q290" i="2" s="1"/>
  <c r="P291" i="2"/>
  <c r="Q291" i="2" s="1"/>
  <c r="P292" i="2"/>
  <c r="Q292" i="2" s="1"/>
  <c r="P293" i="2"/>
  <c r="Q293" i="2" s="1"/>
  <c r="P294" i="2"/>
  <c r="Q294" i="2" s="1"/>
  <c r="P295" i="2"/>
  <c r="Q295" i="2" s="1"/>
  <c r="P296" i="2"/>
  <c r="Q296" i="2" s="1"/>
  <c r="P297" i="2"/>
  <c r="Q297" i="2" s="1"/>
  <c r="P298" i="2"/>
  <c r="Q298" i="2" s="1"/>
  <c r="P299" i="2"/>
  <c r="Q299" i="2" s="1"/>
  <c r="P300" i="2"/>
  <c r="Q300" i="2" s="1"/>
  <c r="P301" i="2"/>
  <c r="Q301" i="2" s="1"/>
  <c r="P302" i="2"/>
  <c r="Q302" i="2" s="1"/>
  <c r="P303" i="2"/>
  <c r="Q303" i="2" s="1"/>
  <c r="P304" i="2"/>
  <c r="Q304" i="2" s="1"/>
  <c r="P305" i="2"/>
  <c r="Q305" i="2" s="1"/>
  <c r="P306" i="2"/>
  <c r="Q306" i="2" s="1"/>
  <c r="P307" i="2"/>
  <c r="Q307" i="2" s="1"/>
  <c r="P308" i="2"/>
  <c r="Q308" i="2" s="1"/>
  <c r="P309" i="2"/>
  <c r="Q309" i="2" s="1"/>
  <c r="P310" i="2"/>
  <c r="Q310" i="2" s="1"/>
  <c r="P311" i="2"/>
  <c r="Q311" i="2" s="1"/>
  <c r="P312" i="2"/>
  <c r="Q312" i="2" s="1"/>
  <c r="P313" i="2"/>
  <c r="Q313" i="2" s="1"/>
  <c r="P314" i="2"/>
  <c r="Q314" i="2" s="1"/>
  <c r="P315" i="2"/>
  <c r="Q315" i="2" s="1"/>
  <c r="P316" i="2"/>
  <c r="Q316" i="2" s="1"/>
  <c r="P317" i="2"/>
  <c r="Q317" i="2" s="1"/>
  <c r="P318" i="2"/>
  <c r="Q318" i="2" s="1"/>
  <c r="P319" i="2"/>
  <c r="Q319" i="2" s="1"/>
  <c r="P320" i="2"/>
  <c r="Q320" i="2" s="1"/>
  <c r="P321" i="2"/>
  <c r="Q321" i="2" s="1"/>
  <c r="P322" i="2"/>
  <c r="Q322" i="2" s="1"/>
  <c r="P323" i="2"/>
  <c r="Q323" i="2" s="1"/>
  <c r="P324" i="2"/>
  <c r="Q324" i="2" s="1"/>
  <c r="P325" i="2"/>
  <c r="Q325" i="2" s="1"/>
  <c r="P326" i="2"/>
  <c r="Q326" i="2" s="1"/>
  <c r="P327" i="2"/>
  <c r="Q327" i="2" s="1"/>
  <c r="P328" i="2"/>
  <c r="Q328" i="2" s="1"/>
  <c r="P329" i="2"/>
  <c r="Q329" i="2" s="1"/>
  <c r="P330" i="2"/>
  <c r="Q330" i="2" s="1"/>
  <c r="P331" i="2"/>
  <c r="Q331" i="2" s="1"/>
  <c r="P332" i="2"/>
  <c r="Q332" i="2" s="1"/>
  <c r="P333" i="2"/>
  <c r="Q333" i="2" s="1"/>
  <c r="P334" i="2"/>
  <c r="Q334" i="2" s="1"/>
  <c r="P335" i="2"/>
  <c r="Q335" i="2" s="1"/>
  <c r="P336" i="2"/>
  <c r="Q336" i="2" s="1"/>
  <c r="P337" i="2"/>
  <c r="Q337" i="2" s="1"/>
  <c r="P338" i="2"/>
  <c r="Q338" i="2" s="1"/>
  <c r="P339" i="2"/>
  <c r="Q339" i="2" s="1"/>
  <c r="P340" i="2"/>
  <c r="Q340" i="2" s="1"/>
  <c r="P341" i="2"/>
  <c r="Q341" i="2" s="1"/>
  <c r="P342" i="2"/>
  <c r="Q342" i="2" s="1"/>
  <c r="P343" i="2"/>
  <c r="Q343" i="2" s="1"/>
  <c r="P344" i="2"/>
  <c r="Q344" i="2" s="1"/>
  <c r="P345" i="2"/>
  <c r="Q345" i="2" s="1"/>
  <c r="P346" i="2"/>
  <c r="Q346" i="2" s="1"/>
  <c r="P347" i="2"/>
  <c r="Q347" i="2" s="1"/>
  <c r="P348" i="2"/>
  <c r="Q348" i="2" s="1"/>
  <c r="P349" i="2"/>
  <c r="Q349" i="2" s="1"/>
  <c r="P350" i="2"/>
  <c r="Q350" i="2" s="1"/>
  <c r="P351" i="2"/>
  <c r="Q351" i="2" s="1"/>
  <c r="P352" i="2"/>
  <c r="Q352" i="2" s="1"/>
  <c r="P353" i="2"/>
  <c r="Q353" i="2" s="1"/>
  <c r="P354" i="2"/>
  <c r="Q354" i="2" s="1"/>
  <c r="P355" i="2"/>
  <c r="Q355" i="2" s="1"/>
  <c r="P356" i="2"/>
  <c r="Q356" i="2" s="1"/>
  <c r="P357" i="2"/>
  <c r="Q357" i="2" s="1"/>
  <c r="P358" i="2"/>
  <c r="Q358" i="2" s="1"/>
  <c r="P359" i="2"/>
  <c r="Q359" i="2" s="1"/>
  <c r="P360" i="2"/>
  <c r="Q360" i="2" s="1"/>
  <c r="P361" i="2"/>
  <c r="Q361" i="2" s="1"/>
  <c r="P362" i="2"/>
  <c r="Q362" i="2" s="1"/>
  <c r="P363" i="2"/>
  <c r="Q363" i="2" s="1"/>
  <c r="P364" i="2"/>
  <c r="Q364" i="2" s="1"/>
  <c r="P365" i="2"/>
  <c r="Q365" i="2" s="1"/>
  <c r="P366" i="2"/>
  <c r="Q366" i="2" s="1"/>
  <c r="P367" i="2"/>
  <c r="Q367" i="2" s="1"/>
  <c r="P368" i="2"/>
  <c r="Q368" i="2" s="1"/>
  <c r="P369" i="2"/>
  <c r="Q369" i="2" s="1"/>
  <c r="P370" i="2"/>
  <c r="Q370" i="2" s="1"/>
  <c r="P371" i="2"/>
  <c r="Q371" i="2" s="1"/>
  <c r="P372" i="2"/>
  <c r="Q372" i="2" s="1"/>
  <c r="P373" i="2"/>
  <c r="Q373" i="2" s="1"/>
  <c r="P374" i="2"/>
  <c r="Q374" i="2" s="1"/>
  <c r="P375" i="2"/>
  <c r="Q375" i="2" s="1"/>
  <c r="P376" i="2"/>
  <c r="Q376" i="2" s="1"/>
  <c r="P377" i="2"/>
  <c r="Q377" i="2" s="1"/>
  <c r="P378" i="2"/>
  <c r="Q378" i="2" s="1"/>
  <c r="P379" i="2"/>
  <c r="Q379" i="2" s="1"/>
  <c r="P380" i="2"/>
  <c r="Q380" i="2" s="1"/>
  <c r="P381" i="2"/>
  <c r="Q381" i="2" s="1"/>
  <c r="P382" i="2"/>
  <c r="Q382" i="2" s="1"/>
  <c r="P383" i="2"/>
  <c r="Q383" i="2" s="1"/>
  <c r="P384" i="2"/>
  <c r="Q384" i="2" s="1"/>
  <c r="P385" i="2"/>
  <c r="Q385" i="2" s="1"/>
  <c r="P386" i="2"/>
  <c r="Q386" i="2" s="1"/>
  <c r="P387" i="2"/>
  <c r="Q387" i="2" s="1"/>
  <c r="P388" i="2"/>
  <c r="Q388" i="2" s="1"/>
  <c r="P389" i="2"/>
  <c r="Q389" i="2" s="1"/>
  <c r="P390" i="2"/>
  <c r="Q390" i="2" s="1"/>
  <c r="P391" i="2"/>
  <c r="Q391" i="2" s="1"/>
  <c r="P392" i="2"/>
  <c r="Q392" i="2" s="1"/>
  <c r="P393" i="2"/>
  <c r="Q393" i="2" s="1"/>
  <c r="P394" i="2"/>
  <c r="Q394" i="2" s="1"/>
  <c r="P395" i="2"/>
  <c r="Q395" i="2" s="1"/>
  <c r="P396" i="2"/>
  <c r="Q396" i="2" s="1"/>
  <c r="P397" i="2"/>
  <c r="Q397" i="2" s="1"/>
  <c r="P398" i="2"/>
  <c r="Q398" i="2" s="1"/>
  <c r="P399" i="2"/>
  <c r="Q399" i="2" s="1"/>
  <c r="P400" i="2"/>
  <c r="Q400" i="2" s="1"/>
  <c r="P401" i="2"/>
  <c r="Q401" i="2" s="1"/>
  <c r="P402" i="2"/>
  <c r="Q402" i="2" s="1"/>
  <c r="P403" i="2"/>
  <c r="Q403" i="2" s="1"/>
  <c r="P404" i="2"/>
  <c r="Q404" i="2" s="1"/>
  <c r="P405" i="2"/>
  <c r="Q405" i="2" s="1"/>
  <c r="P406" i="2"/>
  <c r="Q406" i="2" s="1"/>
  <c r="P407" i="2"/>
  <c r="Q407" i="2" s="1"/>
  <c r="P408" i="2"/>
  <c r="Q408" i="2" s="1"/>
  <c r="P409" i="2"/>
  <c r="Q409" i="2" s="1"/>
  <c r="P410" i="2"/>
  <c r="Q410" i="2" s="1"/>
  <c r="P411" i="2"/>
  <c r="Q411" i="2" s="1"/>
  <c r="P412" i="2"/>
  <c r="Q412" i="2" s="1"/>
  <c r="P413" i="2"/>
  <c r="Q413" i="2" s="1"/>
  <c r="P414" i="2"/>
  <c r="Q414" i="2" s="1"/>
  <c r="P415" i="2"/>
  <c r="Q415" i="2" s="1"/>
  <c r="P416" i="2"/>
  <c r="Q416" i="2" s="1"/>
  <c r="P417" i="2"/>
  <c r="Q417" i="2" s="1"/>
  <c r="P418" i="2"/>
  <c r="Q418" i="2" s="1"/>
  <c r="P419" i="2"/>
  <c r="Q419" i="2" s="1"/>
  <c r="P420" i="2"/>
  <c r="Q420" i="2" s="1"/>
  <c r="P421" i="2"/>
  <c r="Q421" i="2" s="1"/>
  <c r="P422" i="2"/>
  <c r="Q422" i="2" s="1"/>
  <c r="P423" i="2"/>
  <c r="Q423" i="2" s="1"/>
  <c r="P424" i="2"/>
  <c r="Q424" i="2" s="1"/>
  <c r="P425" i="2"/>
  <c r="Q425" i="2" s="1"/>
  <c r="P426" i="2"/>
  <c r="Q426" i="2" s="1"/>
  <c r="P427" i="2"/>
  <c r="Q427" i="2" s="1"/>
  <c r="P428" i="2"/>
  <c r="Q428" i="2" s="1"/>
  <c r="P429" i="2"/>
  <c r="Q429" i="2" s="1"/>
  <c r="P430" i="2"/>
  <c r="Q430" i="2" s="1"/>
  <c r="P431" i="2"/>
  <c r="Q431" i="2" s="1"/>
  <c r="P432" i="2"/>
  <c r="Q432" i="2" s="1"/>
  <c r="P433" i="2"/>
  <c r="Q433" i="2" s="1"/>
  <c r="P434" i="2"/>
  <c r="Q434" i="2" s="1"/>
  <c r="P435" i="2"/>
  <c r="Q435" i="2" s="1"/>
  <c r="P436" i="2"/>
  <c r="Q436" i="2" s="1"/>
  <c r="P437" i="2"/>
  <c r="Q437" i="2" s="1"/>
  <c r="P438" i="2"/>
  <c r="Q438" i="2" s="1"/>
  <c r="P439" i="2"/>
  <c r="Q439" i="2" s="1"/>
  <c r="P440" i="2"/>
  <c r="Q440" i="2" s="1"/>
  <c r="P441" i="2"/>
  <c r="Q441" i="2" s="1"/>
  <c r="P442" i="2"/>
  <c r="Q442" i="2" s="1"/>
  <c r="P443" i="2"/>
  <c r="Q443" i="2" s="1"/>
  <c r="P444" i="2"/>
  <c r="Q444" i="2" s="1"/>
  <c r="P445" i="2"/>
  <c r="Q445" i="2" s="1"/>
  <c r="P446" i="2"/>
  <c r="Q446" i="2" s="1"/>
  <c r="P447" i="2"/>
  <c r="Q447" i="2" s="1"/>
  <c r="P448" i="2"/>
  <c r="Q448" i="2" s="1"/>
  <c r="P449" i="2"/>
  <c r="Q449" i="2" s="1"/>
  <c r="P450" i="2"/>
  <c r="Q450" i="2" s="1"/>
  <c r="P451" i="2"/>
  <c r="Q451" i="2" s="1"/>
  <c r="P452" i="2"/>
  <c r="Q452" i="2" s="1"/>
  <c r="P453" i="2"/>
  <c r="Q453" i="2" s="1"/>
  <c r="P454" i="2"/>
  <c r="Q454" i="2" s="1"/>
  <c r="P455" i="2"/>
  <c r="Q455" i="2" s="1"/>
  <c r="D6" i="16"/>
  <c r="E6" i="16"/>
  <c r="D7" i="16"/>
  <c r="E7" i="16"/>
  <c r="D8" i="16"/>
  <c r="E8" i="16"/>
  <c r="D9" i="16"/>
  <c r="E9" i="16"/>
  <c r="D10" i="16"/>
  <c r="E10" i="16"/>
  <c r="D11" i="16"/>
  <c r="E11" i="16"/>
  <c r="D12" i="16"/>
  <c r="E12" i="16"/>
  <c r="D13" i="16"/>
  <c r="E13" i="16"/>
  <c r="D14" i="16"/>
  <c r="E14" i="16"/>
  <c r="D15" i="16"/>
  <c r="E15" i="16"/>
  <c r="D16" i="16"/>
  <c r="E16" i="16"/>
  <c r="D17" i="16"/>
  <c r="E17" i="16"/>
  <c r="D18" i="16"/>
  <c r="E18" i="16"/>
  <c r="D19" i="16"/>
  <c r="E19" i="16"/>
  <c r="D20" i="16"/>
  <c r="E20" i="16"/>
  <c r="D21" i="16"/>
  <c r="E21" i="16"/>
  <c r="D22" i="16"/>
  <c r="E22" i="16"/>
  <c r="D23" i="16"/>
  <c r="E23" i="16"/>
  <c r="D24" i="16"/>
  <c r="E24" i="16"/>
  <c r="D25" i="16"/>
  <c r="E25" i="16"/>
  <c r="D26" i="16"/>
  <c r="E26" i="16"/>
  <c r="D27" i="16"/>
  <c r="E27" i="16"/>
  <c r="D28" i="16"/>
  <c r="E28" i="16"/>
  <c r="D29" i="16"/>
  <c r="E29" i="16"/>
  <c r="D30" i="16"/>
  <c r="E30" i="16"/>
  <c r="D31" i="16"/>
  <c r="E31" i="16"/>
  <c r="D32" i="16"/>
  <c r="E32" i="16"/>
  <c r="D33" i="16"/>
  <c r="E33" i="16"/>
  <c r="D34" i="16"/>
  <c r="E34" i="16"/>
  <c r="D35" i="16"/>
  <c r="E35" i="16"/>
  <c r="D36" i="16"/>
  <c r="E36" i="16"/>
  <c r="D37" i="16"/>
  <c r="E37" i="16"/>
  <c r="D38" i="16"/>
  <c r="E38" i="16"/>
  <c r="D39" i="16"/>
  <c r="E39" i="16"/>
  <c r="D40" i="16"/>
  <c r="E40" i="16"/>
  <c r="D41" i="16"/>
  <c r="E41" i="16"/>
  <c r="D42" i="16"/>
  <c r="E42" i="16"/>
  <c r="D43" i="16"/>
  <c r="E43" i="16"/>
  <c r="D44" i="16"/>
  <c r="E44" i="16"/>
  <c r="D45" i="16"/>
  <c r="E45" i="16"/>
  <c r="D46" i="16"/>
  <c r="E46" i="16"/>
  <c r="D47" i="16"/>
  <c r="E47" i="16"/>
  <c r="D48" i="16"/>
  <c r="E48" i="16"/>
  <c r="D49" i="16"/>
  <c r="E49" i="16"/>
  <c r="D50" i="16"/>
  <c r="E50" i="16"/>
  <c r="D51" i="16"/>
  <c r="E51" i="16"/>
  <c r="D52" i="16"/>
  <c r="E52" i="16"/>
  <c r="D53" i="16"/>
  <c r="E53" i="16"/>
  <c r="D54" i="16"/>
  <c r="E54" i="16"/>
  <c r="D55" i="16"/>
  <c r="E55" i="16"/>
  <c r="D56" i="16"/>
  <c r="E56" i="16"/>
  <c r="D57" i="16"/>
  <c r="E57" i="16"/>
  <c r="D58" i="16"/>
  <c r="E58" i="16"/>
  <c r="D59" i="16"/>
  <c r="E59" i="16"/>
  <c r="D60" i="16"/>
  <c r="E60" i="16"/>
  <c r="D61" i="16"/>
  <c r="E61" i="16"/>
  <c r="D62" i="16"/>
  <c r="E62" i="16"/>
  <c r="D63" i="16"/>
  <c r="E63" i="16"/>
  <c r="D64" i="16"/>
  <c r="E64" i="16"/>
  <c r="D65" i="16"/>
  <c r="E65" i="16"/>
  <c r="D66" i="16"/>
  <c r="E66" i="16"/>
  <c r="D67" i="16"/>
  <c r="E67" i="16"/>
  <c r="D68" i="16"/>
  <c r="E68" i="16"/>
  <c r="D69" i="16"/>
  <c r="E69" i="16"/>
  <c r="D70" i="16"/>
  <c r="E70" i="16"/>
  <c r="D71" i="16"/>
  <c r="E71" i="16"/>
  <c r="D72" i="16"/>
  <c r="E72" i="16"/>
  <c r="D73" i="16"/>
  <c r="E73" i="16"/>
  <c r="D74" i="16"/>
  <c r="E74" i="16"/>
  <c r="D75" i="16"/>
  <c r="E75" i="16"/>
  <c r="D76" i="16"/>
  <c r="E76" i="16"/>
  <c r="D77" i="16"/>
  <c r="E77" i="16"/>
  <c r="D78" i="16"/>
  <c r="E78" i="16"/>
  <c r="D79" i="16"/>
  <c r="E79" i="16"/>
  <c r="D80" i="16"/>
  <c r="E80" i="16"/>
  <c r="D81" i="16"/>
  <c r="E81" i="16"/>
  <c r="D82" i="16"/>
  <c r="E82" i="16"/>
  <c r="D83" i="16"/>
  <c r="E83" i="16"/>
  <c r="D84" i="16"/>
  <c r="E84" i="16"/>
  <c r="D85" i="16"/>
  <c r="E85" i="16"/>
  <c r="D86" i="16"/>
  <c r="E86" i="16"/>
  <c r="D87" i="16"/>
  <c r="E87" i="16"/>
  <c r="D88" i="16"/>
  <c r="E88" i="16"/>
  <c r="D89" i="16"/>
  <c r="E89" i="16"/>
  <c r="D90" i="16"/>
  <c r="E90" i="16"/>
  <c r="D91" i="16"/>
  <c r="E91" i="16"/>
  <c r="D92" i="16"/>
  <c r="E92" i="16"/>
  <c r="D93" i="16"/>
  <c r="E93" i="16"/>
  <c r="D94" i="16"/>
  <c r="E94" i="16"/>
  <c r="D95" i="16"/>
  <c r="E95" i="16"/>
  <c r="D96" i="16"/>
  <c r="E96" i="16"/>
  <c r="D97" i="16"/>
  <c r="E97" i="16"/>
  <c r="D98" i="16"/>
  <c r="E98" i="16"/>
  <c r="D99" i="16"/>
  <c r="E99" i="16"/>
  <c r="D100" i="16"/>
  <c r="E100" i="16"/>
  <c r="D101" i="16"/>
  <c r="E101" i="16"/>
  <c r="D102" i="16"/>
  <c r="E102" i="16"/>
  <c r="D103" i="16"/>
  <c r="E103" i="16"/>
  <c r="B1" i="16"/>
  <c r="D5" i="16"/>
  <c r="L4" i="2"/>
  <c r="J4" i="2" s="1"/>
  <c r="M4" i="2"/>
  <c r="N4" i="2"/>
  <c r="L5" i="2"/>
  <c r="J5" i="2" s="1"/>
  <c r="M5" i="2"/>
  <c r="N5" i="2"/>
  <c r="L6" i="2"/>
  <c r="M6" i="2"/>
  <c r="N6" i="2"/>
  <c r="L7" i="2"/>
  <c r="M7" i="2"/>
  <c r="N7" i="2"/>
  <c r="L8" i="2"/>
  <c r="M8" i="2"/>
  <c r="N8" i="2"/>
  <c r="L9" i="2"/>
  <c r="M9" i="2"/>
  <c r="N9" i="2"/>
  <c r="L10" i="2"/>
  <c r="M10" i="2"/>
  <c r="N10" i="2"/>
  <c r="O10" i="2" s="1"/>
  <c r="L11" i="2"/>
  <c r="M11" i="2"/>
  <c r="N11" i="2"/>
  <c r="O11" i="2" s="1"/>
  <c r="L12" i="2"/>
  <c r="M12" i="2"/>
  <c r="N12" i="2"/>
  <c r="L13" i="2"/>
  <c r="J13" i="2" s="1"/>
  <c r="M13" i="2"/>
  <c r="N13" i="2"/>
  <c r="L14" i="2"/>
  <c r="M14" i="2"/>
  <c r="N14" i="2"/>
  <c r="L15" i="2"/>
  <c r="M15" i="2"/>
  <c r="N15" i="2"/>
  <c r="O15" i="2" s="1"/>
  <c r="L16" i="2"/>
  <c r="J16" i="2" s="1"/>
  <c r="M16" i="2"/>
  <c r="N16" i="2"/>
  <c r="L17" i="2"/>
  <c r="M17" i="2"/>
  <c r="N17" i="2"/>
  <c r="O17" i="2" s="1"/>
  <c r="L18" i="2"/>
  <c r="M18" i="2"/>
  <c r="N18" i="2"/>
  <c r="O18" i="2" s="1"/>
  <c r="L19" i="2"/>
  <c r="M19" i="2"/>
  <c r="N19" i="2"/>
  <c r="O19" i="2" s="1"/>
  <c r="L20" i="2"/>
  <c r="P20" i="2" s="1"/>
  <c r="M20" i="2"/>
  <c r="N20" i="2"/>
  <c r="L21" i="2"/>
  <c r="J21" i="2" s="1"/>
  <c r="M21" i="2"/>
  <c r="N21" i="2"/>
  <c r="O21" i="2" s="1"/>
  <c r="L22" i="2"/>
  <c r="J22" i="2" s="1"/>
  <c r="M22" i="2"/>
  <c r="N22" i="2"/>
  <c r="L23" i="2"/>
  <c r="M23" i="2"/>
  <c r="N23" i="2"/>
  <c r="O23" i="2" s="1"/>
  <c r="L24" i="2"/>
  <c r="M24" i="2"/>
  <c r="N24" i="2"/>
  <c r="O24" i="2" s="1"/>
  <c r="L25" i="2"/>
  <c r="M25" i="2"/>
  <c r="N25" i="2"/>
  <c r="P25" i="2" s="1"/>
  <c r="Q25" i="2" s="1"/>
  <c r="L26" i="2"/>
  <c r="M26" i="2"/>
  <c r="N26" i="2"/>
  <c r="O26" i="2" s="1"/>
  <c r="L27" i="2"/>
  <c r="M27" i="2"/>
  <c r="N27" i="2"/>
  <c r="O27" i="2" s="1"/>
  <c r="L28" i="2"/>
  <c r="M28" i="2"/>
  <c r="N28" i="2"/>
  <c r="O28" i="2" s="1"/>
  <c r="L29" i="2"/>
  <c r="J29" i="2" s="1"/>
  <c r="M29" i="2"/>
  <c r="N29" i="2"/>
  <c r="O29" i="2" s="1"/>
  <c r="L30" i="2"/>
  <c r="M30" i="2"/>
  <c r="N30" i="2"/>
  <c r="O30" i="2" s="1"/>
  <c r="L31" i="2"/>
  <c r="M31" i="2"/>
  <c r="N31" i="2"/>
  <c r="O31" i="2" s="1"/>
  <c r="L32" i="2"/>
  <c r="J32" i="2" s="1"/>
  <c r="M32" i="2"/>
  <c r="N32" i="2"/>
  <c r="O32" i="2" s="1"/>
  <c r="L33" i="2"/>
  <c r="M33" i="2"/>
  <c r="N33" i="2"/>
  <c r="O33" i="2" s="1"/>
  <c r="L34" i="2"/>
  <c r="J34" i="2" s="1"/>
  <c r="M34" i="2"/>
  <c r="N34" i="2"/>
  <c r="O34" i="2" s="1"/>
  <c r="L35" i="2"/>
  <c r="M35" i="2"/>
  <c r="N35" i="2"/>
  <c r="O35" i="2" s="1"/>
  <c r="L36" i="2"/>
  <c r="P36" i="2" s="1"/>
  <c r="M36" i="2"/>
  <c r="N36" i="2"/>
  <c r="L37" i="2"/>
  <c r="J37" i="2" s="1"/>
  <c r="M37" i="2"/>
  <c r="N37" i="2"/>
  <c r="O37" i="2" s="1"/>
  <c r="L38" i="2"/>
  <c r="J38" i="2" s="1"/>
  <c r="M38" i="2"/>
  <c r="N38" i="2"/>
  <c r="O38" i="2" s="1"/>
  <c r="L39" i="2"/>
  <c r="M39" i="2"/>
  <c r="N39" i="2"/>
  <c r="O39" i="2" s="1"/>
  <c r="L40" i="2"/>
  <c r="M40" i="2"/>
  <c r="N40" i="2"/>
  <c r="O40" i="2" s="1"/>
  <c r="L41" i="2"/>
  <c r="M41" i="2"/>
  <c r="N41" i="2"/>
  <c r="P41" i="2" s="1"/>
  <c r="Q41" i="2" s="1"/>
  <c r="L42" i="2"/>
  <c r="J42" i="2" s="1"/>
  <c r="M42" i="2"/>
  <c r="N42" i="2"/>
  <c r="O42" i="2" s="1"/>
  <c r="L43" i="2"/>
  <c r="M43" i="2"/>
  <c r="N43" i="2"/>
  <c r="O43" i="2" s="1"/>
  <c r="L44" i="2"/>
  <c r="P44" i="2" s="1"/>
  <c r="M44" i="2"/>
  <c r="N44" i="2"/>
  <c r="L45" i="2"/>
  <c r="J45" i="2" s="1"/>
  <c r="M45" i="2"/>
  <c r="N45" i="2"/>
  <c r="O45" i="2" s="1"/>
  <c r="L46" i="2"/>
  <c r="M46" i="2"/>
  <c r="N46" i="2"/>
  <c r="P46" i="2" s="1"/>
  <c r="Q46" i="2" s="1"/>
  <c r="L47" i="2"/>
  <c r="M47" i="2"/>
  <c r="N47" i="2"/>
  <c r="O47" i="2" s="1"/>
  <c r="L48" i="2"/>
  <c r="J48" i="2" s="1"/>
  <c r="M48" i="2"/>
  <c r="N48" i="2"/>
  <c r="O48" i="2" s="1"/>
  <c r="L49" i="2"/>
  <c r="M49" i="2"/>
  <c r="N49" i="2"/>
  <c r="P49" i="2" s="1"/>
  <c r="Q49" i="2" s="1"/>
  <c r="L50" i="2"/>
  <c r="J50" i="2" s="1"/>
  <c r="M50" i="2"/>
  <c r="N50" i="2"/>
  <c r="O50" i="2" s="1"/>
  <c r="L51" i="2"/>
  <c r="M51" i="2"/>
  <c r="N51" i="2"/>
  <c r="O51" i="2" s="1"/>
  <c r="L52" i="2"/>
  <c r="P52" i="2" s="1"/>
  <c r="M52" i="2"/>
  <c r="N52" i="2"/>
  <c r="L53" i="2"/>
  <c r="J53" i="2" s="1"/>
  <c r="M53" i="2"/>
  <c r="N53" i="2"/>
  <c r="O53" i="2" s="1"/>
  <c r="L54" i="2"/>
  <c r="J54" i="2" s="1"/>
  <c r="M54" i="2"/>
  <c r="N54" i="2"/>
  <c r="P54" i="2" s="1"/>
  <c r="Q54" i="2" s="1"/>
  <c r="L55" i="2"/>
  <c r="M55" i="2"/>
  <c r="N55" i="2"/>
  <c r="O55" i="2" s="1"/>
  <c r="L56" i="2"/>
  <c r="M56" i="2"/>
  <c r="N56" i="2"/>
  <c r="O56" i="2" s="1"/>
  <c r="L57" i="2"/>
  <c r="M57" i="2"/>
  <c r="N57" i="2"/>
  <c r="O57" i="2" s="1"/>
  <c r="L58" i="2"/>
  <c r="J58" i="2" s="1"/>
  <c r="M58" i="2"/>
  <c r="N58" i="2"/>
  <c r="O58" i="2" s="1"/>
  <c r="L59" i="2"/>
  <c r="M59" i="2"/>
  <c r="N59" i="2"/>
  <c r="O59" i="2" s="1"/>
  <c r="L60" i="2"/>
  <c r="M60" i="2"/>
  <c r="N60" i="2"/>
  <c r="O60" i="2" s="1"/>
  <c r="L61" i="2"/>
  <c r="J61" i="2" s="1"/>
  <c r="M61" i="2"/>
  <c r="N61" i="2"/>
  <c r="O61" i="2" s="1"/>
  <c r="L62" i="2"/>
  <c r="M62" i="2"/>
  <c r="N62" i="2"/>
  <c r="O62" i="2" s="1"/>
  <c r="L63" i="2"/>
  <c r="M63" i="2"/>
  <c r="N63" i="2"/>
  <c r="O63" i="2" s="1"/>
  <c r="L64" i="2"/>
  <c r="J64" i="2" s="1"/>
  <c r="M64" i="2"/>
  <c r="N64" i="2"/>
  <c r="O64" i="2" s="1"/>
  <c r="L65" i="2"/>
  <c r="M65" i="2"/>
  <c r="N65" i="2"/>
  <c r="O65" i="2" s="1"/>
  <c r="L66" i="2"/>
  <c r="J66" i="2" s="1"/>
  <c r="M66" i="2"/>
  <c r="N66" i="2"/>
  <c r="O66" i="2" s="1"/>
  <c r="L67" i="2"/>
  <c r="M67" i="2"/>
  <c r="N67" i="2"/>
  <c r="O67" i="2" s="1"/>
  <c r="L68" i="2"/>
  <c r="M68" i="2"/>
  <c r="N68" i="2"/>
  <c r="O68" i="2" s="1"/>
  <c r="L69" i="2"/>
  <c r="J69" i="2" s="1"/>
  <c r="M69" i="2"/>
  <c r="N69" i="2"/>
  <c r="O69" i="2" s="1"/>
  <c r="L70" i="2"/>
  <c r="M70" i="2"/>
  <c r="N70" i="2"/>
  <c r="O70" i="2" s="1"/>
  <c r="L71" i="2"/>
  <c r="M71" i="2"/>
  <c r="N71" i="2"/>
  <c r="O71" i="2" s="1"/>
  <c r="L72" i="2"/>
  <c r="J72" i="2" s="1"/>
  <c r="M72" i="2"/>
  <c r="N72" i="2"/>
  <c r="O72" i="2" s="1"/>
  <c r="L73" i="2"/>
  <c r="M73" i="2"/>
  <c r="N73" i="2"/>
  <c r="O73" i="2" s="1"/>
  <c r="L74" i="2"/>
  <c r="J74" i="2" s="1"/>
  <c r="M74" i="2"/>
  <c r="N74" i="2"/>
  <c r="O74" i="2" s="1"/>
  <c r="L75" i="2"/>
  <c r="M75" i="2"/>
  <c r="N75" i="2"/>
  <c r="O75" i="2" s="1"/>
  <c r="L76" i="2"/>
  <c r="M76" i="2"/>
  <c r="N76" i="2"/>
  <c r="O76" i="2" s="1"/>
  <c r="L77" i="2"/>
  <c r="J77" i="2" s="1"/>
  <c r="M77" i="2"/>
  <c r="N77" i="2"/>
  <c r="O77" i="2" s="1"/>
  <c r="L78" i="2"/>
  <c r="M78" i="2"/>
  <c r="N78" i="2"/>
  <c r="O78" i="2" s="1"/>
  <c r="L79" i="2"/>
  <c r="M79" i="2"/>
  <c r="N79" i="2"/>
  <c r="O79" i="2" s="1"/>
  <c r="L80" i="2"/>
  <c r="J80" i="2" s="1"/>
  <c r="M80" i="2"/>
  <c r="N80" i="2"/>
  <c r="O80" i="2" s="1"/>
  <c r="L81" i="2"/>
  <c r="M81" i="2"/>
  <c r="N81" i="2"/>
  <c r="O81" i="2" s="1"/>
  <c r="L82" i="2"/>
  <c r="J82" i="2" s="1"/>
  <c r="M82" i="2"/>
  <c r="N82" i="2"/>
  <c r="O82" i="2" s="1"/>
  <c r="L83" i="2"/>
  <c r="M83" i="2"/>
  <c r="N83" i="2"/>
  <c r="O83" i="2" s="1"/>
  <c r="L84" i="2"/>
  <c r="M84" i="2"/>
  <c r="N84" i="2"/>
  <c r="O84" i="2" s="1"/>
  <c r="L85" i="2"/>
  <c r="J85" i="2" s="1"/>
  <c r="M85" i="2"/>
  <c r="N85" i="2"/>
  <c r="O85" i="2" s="1"/>
  <c r="L86" i="2"/>
  <c r="J86" i="2" s="1"/>
  <c r="M86" i="2"/>
  <c r="N86" i="2"/>
  <c r="O86" i="2" s="1"/>
  <c r="L87" i="2"/>
  <c r="M87" i="2"/>
  <c r="N87" i="2"/>
  <c r="O87" i="2" s="1"/>
  <c r="L88" i="2"/>
  <c r="J88" i="2" s="1"/>
  <c r="M88" i="2"/>
  <c r="N88" i="2"/>
  <c r="O88" i="2" s="1"/>
  <c r="L89" i="2"/>
  <c r="M89" i="2"/>
  <c r="N89" i="2"/>
  <c r="O89" i="2" s="1"/>
  <c r="L90" i="2"/>
  <c r="J90" i="2" s="1"/>
  <c r="M90" i="2"/>
  <c r="N90" i="2"/>
  <c r="O90" i="2" s="1"/>
  <c r="L91" i="2"/>
  <c r="M91" i="2"/>
  <c r="N91" i="2"/>
  <c r="O91" i="2" s="1"/>
  <c r="L92" i="2"/>
  <c r="M92" i="2"/>
  <c r="N92" i="2"/>
  <c r="O92" i="2" s="1"/>
  <c r="L93" i="2"/>
  <c r="J93" i="2" s="1"/>
  <c r="M93" i="2"/>
  <c r="N93" i="2"/>
  <c r="O93" i="2" s="1"/>
  <c r="L94" i="2"/>
  <c r="M94" i="2"/>
  <c r="N94" i="2"/>
  <c r="O94" i="2" s="1"/>
  <c r="L95" i="2"/>
  <c r="M95" i="2"/>
  <c r="N95" i="2"/>
  <c r="O95" i="2" s="1"/>
  <c r="L96" i="2"/>
  <c r="J96" i="2" s="1"/>
  <c r="M96" i="2"/>
  <c r="N96" i="2"/>
  <c r="O96" i="2" s="1"/>
  <c r="L97" i="2"/>
  <c r="M97" i="2"/>
  <c r="N97" i="2"/>
  <c r="O97" i="2" s="1"/>
  <c r="L98" i="2"/>
  <c r="J98" i="2" s="1"/>
  <c r="M98" i="2"/>
  <c r="N98" i="2"/>
  <c r="O98" i="2" s="1"/>
  <c r="L99" i="2"/>
  <c r="M99" i="2"/>
  <c r="N99" i="2"/>
  <c r="O99" i="2" s="1"/>
  <c r="L100" i="2"/>
  <c r="M100" i="2"/>
  <c r="N100" i="2"/>
  <c r="O100" i="2" s="1"/>
  <c r="L101" i="2"/>
  <c r="J101" i="2" s="1"/>
  <c r="M101" i="2"/>
  <c r="N101" i="2"/>
  <c r="O101" i="2" s="1"/>
  <c r="L102" i="2"/>
  <c r="M102" i="2"/>
  <c r="N102" i="2"/>
  <c r="O102" i="2" s="1"/>
  <c r="L103" i="2"/>
  <c r="M103" i="2"/>
  <c r="N103" i="2"/>
  <c r="O103" i="2" s="1"/>
  <c r="L104" i="2"/>
  <c r="M104" i="2"/>
  <c r="N104" i="2"/>
  <c r="O104" i="2" s="1"/>
  <c r="L105" i="2"/>
  <c r="M105" i="2"/>
  <c r="N105" i="2"/>
  <c r="O105" i="2" s="1"/>
  <c r="L106" i="2"/>
  <c r="J106" i="2" s="1"/>
  <c r="M106" i="2"/>
  <c r="N106" i="2"/>
  <c r="O106" i="2" s="1"/>
  <c r="L107" i="2"/>
  <c r="M107" i="2"/>
  <c r="N107" i="2"/>
  <c r="O107" i="2" s="1"/>
  <c r="L108" i="2"/>
  <c r="M108" i="2"/>
  <c r="N108" i="2"/>
  <c r="O108" i="2" s="1"/>
  <c r="L109" i="2"/>
  <c r="M109" i="2"/>
  <c r="N109" i="2"/>
  <c r="O109" i="2" s="1"/>
  <c r="L110" i="2"/>
  <c r="M110" i="2"/>
  <c r="N110" i="2"/>
  <c r="O110" i="2" s="1"/>
  <c r="L111" i="2"/>
  <c r="M111" i="2"/>
  <c r="N111" i="2"/>
  <c r="O111" i="2" s="1"/>
  <c r="L112" i="2"/>
  <c r="M112" i="2"/>
  <c r="N112" i="2"/>
  <c r="O112" i="2" s="1"/>
  <c r="L113" i="2"/>
  <c r="M113" i="2"/>
  <c r="N113" i="2"/>
  <c r="O113" i="2" s="1"/>
  <c r="L114" i="2"/>
  <c r="M114" i="2"/>
  <c r="N114" i="2"/>
  <c r="O114" i="2" s="1"/>
  <c r="L115" i="2"/>
  <c r="M115" i="2"/>
  <c r="N115" i="2"/>
  <c r="O115" i="2" s="1"/>
  <c r="L116" i="2"/>
  <c r="M116" i="2"/>
  <c r="N116" i="2"/>
  <c r="O116" i="2" s="1"/>
  <c r="L117" i="2"/>
  <c r="M117" i="2"/>
  <c r="N117" i="2"/>
  <c r="O117" i="2" s="1"/>
  <c r="L118" i="2"/>
  <c r="M118" i="2"/>
  <c r="N118" i="2"/>
  <c r="O118" i="2" s="1"/>
  <c r="L119" i="2"/>
  <c r="M119" i="2"/>
  <c r="N119" i="2"/>
  <c r="O119" i="2" s="1"/>
  <c r="L120" i="2"/>
  <c r="M120" i="2"/>
  <c r="N120" i="2"/>
  <c r="O120" i="2" s="1"/>
  <c r="L121" i="2"/>
  <c r="M121" i="2"/>
  <c r="N121" i="2"/>
  <c r="O121" i="2" s="1"/>
  <c r="L122" i="2"/>
  <c r="M122" i="2"/>
  <c r="N122" i="2"/>
  <c r="O122" i="2" s="1"/>
  <c r="L123" i="2"/>
  <c r="M123" i="2"/>
  <c r="N123" i="2"/>
  <c r="O123" i="2" s="1"/>
  <c r="L124" i="2"/>
  <c r="M124" i="2"/>
  <c r="N124" i="2"/>
  <c r="O124" i="2" s="1"/>
  <c r="L125" i="2"/>
  <c r="M125" i="2"/>
  <c r="N125" i="2"/>
  <c r="O125" i="2" s="1"/>
  <c r="L126" i="2"/>
  <c r="M126" i="2"/>
  <c r="N126" i="2"/>
  <c r="O126" i="2" s="1"/>
  <c r="L127" i="2"/>
  <c r="M127" i="2"/>
  <c r="N127" i="2"/>
  <c r="O127" i="2" s="1"/>
  <c r="L128" i="2"/>
  <c r="M128" i="2"/>
  <c r="N128" i="2"/>
  <c r="O128" i="2" s="1"/>
  <c r="L129" i="2"/>
  <c r="M129" i="2"/>
  <c r="N129" i="2"/>
  <c r="O129" i="2" s="1"/>
  <c r="L130" i="2"/>
  <c r="M130" i="2"/>
  <c r="N130" i="2"/>
  <c r="O130" i="2" s="1"/>
  <c r="L131" i="2"/>
  <c r="M131" i="2"/>
  <c r="N131" i="2"/>
  <c r="O131" i="2" s="1"/>
  <c r="L132" i="2"/>
  <c r="M132" i="2"/>
  <c r="N132" i="2"/>
  <c r="O132" i="2" s="1"/>
  <c r="L133" i="2"/>
  <c r="M133" i="2"/>
  <c r="N133" i="2"/>
  <c r="O133" i="2" s="1"/>
  <c r="L134" i="2"/>
  <c r="M134" i="2"/>
  <c r="N134" i="2"/>
  <c r="O134" i="2" s="1"/>
  <c r="L135" i="2"/>
  <c r="M135" i="2"/>
  <c r="N135" i="2"/>
  <c r="O135" i="2" s="1"/>
  <c r="L136" i="2"/>
  <c r="M136" i="2"/>
  <c r="N136" i="2"/>
  <c r="O136" i="2" s="1"/>
  <c r="L137" i="2"/>
  <c r="M137" i="2"/>
  <c r="N137" i="2"/>
  <c r="O137" i="2" s="1"/>
  <c r="L138" i="2"/>
  <c r="M138" i="2"/>
  <c r="N138" i="2"/>
  <c r="O138" i="2" s="1"/>
  <c r="L139" i="2"/>
  <c r="M139" i="2"/>
  <c r="N139" i="2"/>
  <c r="O139" i="2" s="1"/>
  <c r="L140" i="2"/>
  <c r="M140" i="2"/>
  <c r="N140" i="2"/>
  <c r="O140" i="2" s="1"/>
  <c r="L141" i="2"/>
  <c r="M141" i="2"/>
  <c r="N141" i="2"/>
  <c r="O141" i="2" s="1"/>
  <c r="L142" i="2"/>
  <c r="M142" i="2"/>
  <c r="N142" i="2"/>
  <c r="O142" i="2" s="1"/>
  <c r="L143" i="2"/>
  <c r="M143" i="2"/>
  <c r="N143" i="2"/>
  <c r="O143" i="2" s="1"/>
  <c r="L144" i="2"/>
  <c r="M144" i="2"/>
  <c r="N144" i="2"/>
  <c r="O144" i="2" s="1"/>
  <c r="L145" i="2"/>
  <c r="M145" i="2"/>
  <c r="N145" i="2"/>
  <c r="O145" i="2" s="1"/>
  <c r="L146" i="2"/>
  <c r="M146" i="2"/>
  <c r="N146" i="2"/>
  <c r="O146" i="2" s="1"/>
  <c r="L147" i="2"/>
  <c r="M147" i="2"/>
  <c r="N147" i="2"/>
  <c r="O147" i="2" s="1"/>
  <c r="L148" i="2"/>
  <c r="M148" i="2"/>
  <c r="N148" i="2"/>
  <c r="O148" i="2" s="1"/>
  <c r="L149" i="2"/>
  <c r="M149" i="2"/>
  <c r="N149" i="2"/>
  <c r="O149" i="2" s="1"/>
  <c r="L150" i="2"/>
  <c r="M150" i="2"/>
  <c r="N150" i="2"/>
  <c r="O150" i="2" s="1"/>
  <c r="L151" i="2"/>
  <c r="M151" i="2"/>
  <c r="N151" i="2"/>
  <c r="O151" i="2" s="1"/>
  <c r="L152" i="2"/>
  <c r="M152" i="2"/>
  <c r="N152" i="2"/>
  <c r="O152" i="2" s="1"/>
  <c r="L153" i="2"/>
  <c r="M153" i="2"/>
  <c r="N153" i="2"/>
  <c r="O153" i="2" s="1"/>
  <c r="L154" i="2"/>
  <c r="M154" i="2"/>
  <c r="N154" i="2"/>
  <c r="O154" i="2" s="1"/>
  <c r="L155" i="2"/>
  <c r="M155" i="2"/>
  <c r="N155" i="2"/>
  <c r="O155" i="2" s="1"/>
  <c r="L156" i="2"/>
  <c r="M156" i="2"/>
  <c r="N156" i="2"/>
  <c r="O156" i="2" s="1"/>
  <c r="L157" i="2"/>
  <c r="M157" i="2"/>
  <c r="N157" i="2"/>
  <c r="O157" i="2" s="1"/>
  <c r="L158" i="2"/>
  <c r="M158" i="2"/>
  <c r="N158" i="2"/>
  <c r="O158" i="2" s="1"/>
  <c r="L159" i="2"/>
  <c r="M159" i="2"/>
  <c r="N159" i="2"/>
  <c r="O159" i="2" s="1"/>
  <c r="L160" i="2"/>
  <c r="M160" i="2"/>
  <c r="N160" i="2"/>
  <c r="O160" i="2" s="1"/>
  <c r="L161" i="2"/>
  <c r="J161" i="2" s="1"/>
  <c r="M161" i="2"/>
  <c r="N161" i="2"/>
  <c r="O161" i="2" s="1"/>
  <c r="L162" i="2"/>
  <c r="J162" i="2" s="1"/>
  <c r="M162" i="2"/>
  <c r="N162" i="2"/>
  <c r="O162" i="2" s="1"/>
  <c r="L163" i="2"/>
  <c r="J163" i="2" s="1"/>
  <c r="M163" i="2"/>
  <c r="N163" i="2"/>
  <c r="O163" i="2" s="1"/>
  <c r="L164" i="2"/>
  <c r="M164" i="2"/>
  <c r="N164" i="2"/>
  <c r="O164" i="2" s="1"/>
  <c r="L165" i="2"/>
  <c r="M165" i="2"/>
  <c r="N165" i="2"/>
  <c r="O165" i="2" s="1"/>
  <c r="L166" i="2"/>
  <c r="J166" i="2" s="1"/>
  <c r="M166" i="2"/>
  <c r="N166" i="2"/>
  <c r="O166" i="2" s="1"/>
  <c r="L167" i="2"/>
  <c r="M167" i="2"/>
  <c r="N167" i="2"/>
  <c r="O167" i="2" s="1"/>
  <c r="L168" i="2"/>
  <c r="J168" i="2" s="1"/>
  <c r="M168" i="2"/>
  <c r="N168" i="2"/>
  <c r="O168" i="2" s="1"/>
  <c r="L169" i="2"/>
  <c r="J169" i="2" s="1"/>
  <c r="M169" i="2"/>
  <c r="N169" i="2"/>
  <c r="O169" i="2" s="1"/>
  <c r="L170" i="2"/>
  <c r="J170" i="2" s="1"/>
  <c r="M170" i="2"/>
  <c r="N170" i="2"/>
  <c r="O170" i="2" s="1"/>
  <c r="L171" i="2"/>
  <c r="J171" i="2" s="1"/>
  <c r="M171" i="2"/>
  <c r="N171" i="2"/>
  <c r="O171" i="2" s="1"/>
  <c r="L172" i="2"/>
  <c r="J172" i="2" s="1"/>
  <c r="M172" i="2"/>
  <c r="N172" i="2"/>
  <c r="O172" i="2" s="1"/>
  <c r="L173" i="2"/>
  <c r="M173" i="2"/>
  <c r="N173" i="2"/>
  <c r="O173" i="2" s="1"/>
  <c r="L174" i="2"/>
  <c r="J174" i="2" s="1"/>
  <c r="M174" i="2"/>
  <c r="N174" i="2"/>
  <c r="O174" i="2" s="1"/>
  <c r="L175" i="2"/>
  <c r="M175" i="2"/>
  <c r="N175" i="2"/>
  <c r="O175" i="2" s="1"/>
  <c r="L176" i="2"/>
  <c r="J176" i="2" s="1"/>
  <c r="M176" i="2"/>
  <c r="N176" i="2"/>
  <c r="O176" i="2" s="1"/>
  <c r="L177" i="2"/>
  <c r="J177" i="2" s="1"/>
  <c r="M177" i="2"/>
  <c r="N177" i="2"/>
  <c r="O177" i="2" s="1"/>
  <c r="L178" i="2"/>
  <c r="J178" i="2" s="1"/>
  <c r="M178" i="2"/>
  <c r="N178" i="2"/>
  <c r="O178" i="2" s="1"/>
  <c r="L179" i="2"/>
  <c r="J179" i="2" s="1"/>
  <c r="M179" i="2"/>
  <c r="N179" i="2"/>
  <c r="O179" i="2" s="1"/>
  <c r="L180" i="2"/>
  <c r="J180" i="2" s="1"/>
  <c r="M180" i="2"/>
  <c r="N180" i="2"/>
  <c r="O180" i="2" s="1"/>
  <c r="L181" i="2"/>
  <c r="M181" i="2"/>
  <c r="N181" i="2"/>
  <c r="O181" i="2" s="1"/>
  <c r="L182" i="2"/>
  <c r="M182" i="2"/>
  <c r="N182" i="2"/>
  <c r="O182" i="2" s="1"/>
  <c r="L183" i="2"/>
  <c r="M183" i="2"/>
  <c r="N183" i="2"/>
  <c r="O183" i="2" s="1"/>
  <c r="L184" i="2"/>
  <c r="J184" i="2" s="1"/>
  <c r="M184" i="2"/>
  <c r="N184" i="2"/>
  <c r="O184" i="2" s="1"/>
  <c r="L185" i="2"/>
  <c r="J185" i="2" s="1"/>
  <c r="M185" i="2"/>
  <c r="N185" i="2"/>
  <c r="O185" i="2" s="1"/>
  <c r="L186" i="2"/>
  <c r="J186" i="2" s="1"/>
  <c r="M186" i="2"/>
  <c r="N186" i="2"/>
  <c r="O186" i="2" s="1"/>
  <c r="L187" i="2"/>
  <c r="J187" i="2" s="1"/>
  <c r="M187" i="2"/>
  <c r="N187" i="2"/>
  <c r="O187" i="2" s="1"/>
  <c r="L188" i="2"/>
  <c r="M188" i="2"/>
  <c r="N188" i="2"/>
  <c r="O188" i="2" s="1"/>
  <c r="L189" i="2"/>
  <c r="M189" i="2"/>
  <c r="N189" i="2"/>
  <c r="O189" i="2" s="1"/>
  <c r="L190" i="2"/>
  <c r="M190" i="2"/>
  <c r="N190" i="2"/>
  <c r="O190" i="2" s="1"/>
  <c r="L191" i="2"/>
  <c r="M191" i="2"/>
  <c r="N191" i="2"/>
  <c r="O191" i="2" s="1"/>
  <c r="L192" i="2"/>
  <c r="M192" i="2"/>
  <c r="N192" i="2"/>
  <c r="O192" i="2" s="1"/>
  <c r="L193" i="2"/>
  <c r="M193" i="2"/>
  <c r="N193" i="2"/>
  <c r="O193" i="2" s="1"/>
  <c r="L194" i="2"/>
  <c r="M194" i="2"/>
  <c r="N194" i="2"/>
  <c r="O194" i="2" s="1"/>
  <c r="L195" i="2"/>
  <c r="M195" i="2"/>
  <c r="N195" i="2"/>
  <c r="O195" i="2" s="1"/>
  <c r="L196" i="2"/>
  <c r="M196" i="2"/>
  <c r="N196" i="2"/>
  <c r="O196" i="2" s="1"/>
  <c r="L197" i="2"/>
  <c r="M197" i="2"/>
  <c r="N197" i="2"/>
  <c r="O197" i="2" s="1"/>
  <c r="L198" i="2"/>
  <c r="M198" i="2"/>
  <c r="N198" i="2"/>
  <c r="O198" i="2" s="1"/>
  <c r="L199" i="2"/>
  <c r="M199" i="2"/>
  <c r="N199" i="2"/>
  <c r="O199" i="2" s="1"/>
  <c r="L200" i="2"/>
  <c r="J200" i="2" s="1"/>
  <c r="M200" i="2"/>
  <c r="N200" i="2"/>
  <c r="O200" i="2" s="1"/>
  <c r="L201" i="2"/>
  <c r="J201" i="2" s="1"/>
  <c r="M201" i="2"/>
  <c r="N201" i="2"/>
  <c r="O201" i="2" s="1"/>
  <c r="L202" i="2"/>
  <c r="M202" i="2"/>
  <c r="N202" i="2"/>
  <c r="O202" i="2" s="1"/>
  <c r="L203" i="2"/>
  <c r="M203" i="2"/>
  <c r="N203" i="2"/>
  <c r="O203" i="2" s="1"/>
  <c r="L204" i="2"/>
  <c r="M204" i="2"/>
  <c r="N204" i="2"/>
  <c r="O204" i="2" s="1"/>
  <c r="L205" i="2"/>
  <c r="M205" i="2"/>
  <c r="N205" i="2"/>
  <c r="O205" i="2" s="1"/>
  <c r="L206" i="2"/>
  <c r="M206" i="2"/>
  <c r="N206" i="2"/>
  <c r="O206" i="2" s="1"/>
  <c r="L207" i="2"/>
  <c r="M207" i="2"/>
  <c r="N207" i="2"/>
  <c r="O207" i="2" s="1"/>
  <c r="L208" i="2"/>
  <c r="M208" i="2"/>
  <c r="N208" i="2"/>
  <c r="O208" i="2" s="1"/>
  <c r="L209" i="2"/>
  <c r="M209" i="2"/>
  <c r="N209" i="2"/>
  <c r="O209" i="2" s="1"/>
  <c r="L210" i="2"/>
  <c r="M210" i="2"/>
  <c r="N210" i="2"/>
  <c r="O210" i="2" s="1"/>
  <c r="L211" i="2"/>
  <c r="M211" i="2"/>
  <c r="N211" i="2"/>
  <c r="O211" i="2" s="1"/>
  <c r="L212" i="2"/>
  <c r="M212" i="2"/>
  <c r="N212" i="2"/>
  <c r="O212" i="2" s="1"/>
  <c r="L213" i="2"/>
  <c r="M213" i="2"/>
  <c r="N213" i="2"/>
  <c r="O213" i="2" s="1"/>
  <c r="L214" i="2"/>
  <c r="M214" i="2"/>
  <c r="N214" i="2"/>
  <c r="O214" i="2" s="1"/>
  <c r="L215" i="2"/>
  <c r="M215" i="2"/>
  <c r="N215" i="2"/>
  <c r="O215" i="2" s="1"/>
  <c r="L216" i="2"/>
  <c r="J216" i="2" s="1"/>
  <c r="M216" i="2"/>
  <c r="N216" i="2"/>
  <c r="O216" i="2" s="1"/>
  <c r="L217" i="2"/>
  <c r="J217" i="2" s="1"/>
  <c r="M217" i="2"/>
  <c r="N217" i="2"/>
  <c r="O217" i="2" s="1"/>
  <c r="L218" i="2"/>
  <c r="M218" i="2"/>
  <c r="N218" i="2"/>
  <c r="O218" i="2" s="1"/>
  <c r="L219" i="2"/>
  <c r="M219" i="2"/>
  <c r="N219" i="2"/>
  <c r="O219" i="2" s="1"/>
  <c r="L220" i="2"/>
  <c r="M220" i="2"/>
  <c r="N220" i="2"/>
  <c r="O220" i="2" s="1"/>
  <c r="L221" i="2"/>
  <c r="M221" i="2"/>
  <c r="N221" i="2"/>
  <c r="O221" i="2" s="1"/>
  <c r="L222" i="2"/>
  <c r="M222" i="2"/>
  <c r="N222" i="2"/>
  <c r="O222" i="2" s="1"/>
  <c r="L223" i="2"/>
  <c r="M223" i="2"/>
  <c r="N223" i="2"/>
  <c r="O223" i="2" s="1"/>
  <c r="L224" i="2"/>
  <c r="M224" i="2"/>
  <c r="N224" i="2"/>
  <c r="O224" i="2" s="1"/>
  <c r="L225" i="2"/>
  <c r="M225" i="2"/>
  <c r="N225" i="2"/>
  <c r="O225" i="2" s="1"/>
  <c r="L226" i="2"/>
  <c r="M226" i="2"/>
  <c r="N226" i="2"/>
  <c r="O226" i="2" s="1"/>
  <c r="L227" i="2"/>
  <c r="M227" i="2"/>
  <c r="N227" i="2"/>
  <c r="O227" i="2" s="1"/>
  <c r="L228" i="2"/>
  <c r="M228" i="2"/>
  <c r="N228" i="2"/>
  <c r="O228" i="2" s="1"/>
  <c r="L229" i="2"/>
  <c r="M229" i="2"/>
  <c r="N229" i="2"/>
  <c r="O229" i="2" s="1"/>
  <c r="L230" i="2"/>
  <c r="M230" i="2"/>
  <c r="N230" i="2"/>
  <c r="O230" i="2" s="1"/>
  <c r="L231" i="2"/>
  <c r="M231" i="2"/>
  <c r="N231" i="2"/>
  <c r="O231" i="2" s="1"/>
  <c r="L232" i="2"/>
  <c r="J232" i="2" s="1"/>
  <c r="M232" i="2"/>
  <c r="N232" i="2"/>
  <c r="O232" i="2" s="1"/>
  <c r="L233" i="2"/>
  <c r="J233" i="2" s="1"/>
  <c r="M233" i="2"/>
  <c r="N233" i="2"/>
  <c r="O233" i="2" s="1"/>
  <c r="L234" i="2"/>
  <c r="J234" i="2" s="1"/>
  <c r="M234" i="2"/>
  <c r="N234" i="2"/>
  <c r="O234" i="2" s="1"/>
  <c r="L235" i="2"/>
  <c r="M235" i="2"/>
  <c r="N235" i="2"/>
  <c r="O235" i="2" s="1"/>
  <c r="L236" i="2"/>
  <c r="M236" i="2"/>
  <c r="N236" i="2"/>
  <c r="O236" i="2" s="1"/>
  <c r="L237" i="2"/>
  <c r="M237" i="2"/>
  <c r="N237" i="2"/>
  <c r="O237" i="2" s="1"/>
  <c r="L238" i="2"/>
  <c r="M238" i="2"/>
  <c r="N238" i="2"/>
  <c r="O238" i="2" s="1"/>
  <c r="L239" i="2"/>
  <c r="M239" i="2"/>
  <c r="N239" i="2"/>
  <c r="O239" i="2" s="1"/>
  <c r="L240" i="2"/>
  <c r="J240" i="2" s="1"/>
  <c r="M240" i="2"/>
  <c r="N240" i="2"/>
  <c r="O240" i="2" s="1"/>
  <c r="L241" i="2"/>
  <c r="M241" i="2"/>
  <c r="N241" i="2"/>
  <c r="O241" i="2" s="1"/>
  <c r="L242" i="2"/>
  <c r="J242" i="2" s="1"/>
  <c r="M242" i="2"/>
  <c r="N242" i="2"/>
  <c r="O242" i="2" s="1"/>
  <c r="L243" i="2"/>
  <c r="M243" i="2"/>
  <c r="N243" i="2"/>
  <c r="O243" i="2" s="1"/>
  <c r="L244" i="2"/>
  <c r="M244" i="2"/>
  <c r="N244" i="2"/>
  <c r="O244" i="2" s="1"/>
  <c r="L245" i="2"/>
  <c r="M245" i="2"/>
  <c r="N245" i="2"/>
  <c r="O245" i="2" s="1"/>
  <c r="L246" i="2"/>
  <c r="M246" i="2"/>
  <c r="N246" i="2"/>
  <c r="O246" i="2" s="1"/>
  <c r="L247" i="2"/>
  <c r="M247" i="2"/>
  <c r="N247" i="2"/>
  <c r="O247" i="2" s="1"/>
  <c r="L248" i="2"/>
  <c r="J248" i="2" s="1"/>
  <c r="M248" i="2"/>
  <c r="N248" i="2"/>
  <c r="O248" i="2" s="1"/>
  <c r="L249" i="2"/>
  <c r="M249" i="2"/>
  <c r="N249" i="2"/>
  <c r="O249" i="2" s="1"/>
  <c r="L250" i="2"/>
  <c r="J250" i="2" s="1"/>
  <c r="M250" i="2"/>
  <c r="N250" i="2"/>
  <c r="O250" i="2" s="1"/>
  <c r="L251" i="2"/>
  <c r="M251" i="2"/>
  <c r="N251" i="2"/>
  <c r="O251" i="2" s="1"/>
  <c r="L252" i="2"/>
  <c r="J252" i="2" s="1"/>
  <c r="M252" i="2"/>
  <c r="N252" i="2"/>
  <c r="O252" i="2" s="1"/>
  <c r="L253" i="2"/>
  <c r="M253" i="2"/>
  <c r="N253" i="2"/>
  <c r="O253" i="2" s="1"/>
  <c r="L254" i="2"/>
  <c r="M254" i="2"/>
  <c r="N254" i="2"/>
  <c r="O254" i="2" s="1"/>
  <c r="L255" i="2"/>
  <c r="M255" i="2"/>
  <c r="N255" i="2"/>
  <c r="O255" i="2" s="1"/>
  <c r="L256" i="2"/>
  <c r="J256" i="2" s="1"/>
  <c r="M256" i="2"/>
  <c r="N256" i="2"/>
  <c r="O256" i="2" s="1"/>
  <c r="L257" i="2"/>
  <c r="J257" i="2" s="1"/>
  <c r="M257" i="2"/>
  <c r="N257" i="2"/>
  <c r="O257" i="2" s="1"/>
  <c r="L258" i="2"/>
  <c r="J258" i="2" s="1"/>
  <c r="M258" i="2"/>
  <c r="N258" i="2"/>
  <c r="O258" i="2" s="1"/>
  <c r="L259" i="2"/>
  <c r="M259" i="2"/>
  <c r="N259" i="2"/>
  <c r="O259" i="2" s="1"/>
  <c r="L260" i="2"/>
  <c r="J260" i="2" s="1"/>
  <c r="M260" i="2"/>
  <c r="N260" i="2"/>
  <c r="O260" i="2" s="1"/>
  <c r="L261" i="2"/>
  <c r="J261" i="2" s="1"/>
  <c r="M261" i="2"/>
  <c r="N261" i="2"/>
  <c r="O261" i="2" s="1"/>
  <c r="L262" i="2"/>
  <c r="M262" i="2"/>
  <c r="N262" i="2"/>
  <c r="O262" i="2" s="1"/>
  <c r="L263" i="2"/>
  <c r="M263" i="2"/>
  <c r="N263" i="2"/>
  <c r="O263" i="2" s="1"/>
  <c r="L264" i="2"/>
  <c r="J264" i="2" s="1"/>
  <c r="M264" i="2"/>
  <c r="N264" i="2"/>
  <c r="O264" i="2" s="1"/>
  <c r="L265" i="2"/>
  <c r="J265" i="2" s="1"/>
  <c r="M265" i="2"/>
  <c r="N265" i="2"/>
  <c r="O265" i="2" s="1"/>
  <c r="L266" i="2"/>
  <c r="J266" i="2" s="1"/>
  <c r="M266" i="2"/>
  <c r="N266" i="2"/>
  <c r="O266" i="2" s="1"/>
  <c r="L267" i="2"/>
  <c r="M267" i="2"/>
  <c r="N267" i="2"/>
  <c r="O267" i="2" s="1"/>
  <c r="L268" i="2"/>
  <c r="J268" i="2" s="1"/>
  <c r="M268" i="2"/>
  <c r="N268" i="2"/>
  <c r="O268" i="2" s="1"/>
  <c r="L269" i="2"/>
  <c r="J269" i="2" s="1"/>
  <c r="M269" i="2"/>
  <c r="N269" i="2"/>
  <c r="O269" i="2" s="1"/>
  <c r="L270" i="2"/>
  <c r="M270" i="2"/>
  <c r="N270" i="2"/>
  <c r="O270" i="2" s="1"/>
  <c r="L271" i="2"/>
  <c r="M271" i="2"/>
  <c r="N271" i="2"/>
  <c r="O271" i="2" s="1"/>
  <c r="L272" i="2"/>
  <c r="J272" i="2" s="1"/>
  <c r="M272" i="2"/>
  <c r="N272" i="2"/>
  <c r="O272" i="2" s="1"/>
  <c r="L273" i="2"/>
  <c r="J273" i="2" s="1"/>
  <c r="M273" i="2"/>
  <c r="N273" i="2"/>
  <c r="O273" i="2" s="1"/>
  <c r="L274" i="2"/>
  <c r="J274" i="2" s="1"/>
  <c r="M274" i="2"/>
  <c r="N274" i="2"/>
  <c r="O274" i="2" s="1"/>
  <c r="L275" i="2"/>
  <c r="M275" i="2"/>
  <c r="N275" i="2"/>
  <c r="O275" i="2" s="1"/>
  <c r="L276" i="2"/>
  <c r="J276" i="2" s="1"/>
  <c r="M276" i="2"/>
  <c r="N276" i="2"/>
  <c r="O276" i="2" s="1"/>
  <c r="L277" i="2"/>
  <c r="J277" i="2" s="1"/>
  <c r="M277" i="2"/>
  <c r="N277" i="2"/>
  <c r="O277" i="2" s="1"/>
  <c r="L278" i="2"/>
  <c r="M278" i="2"/>
  <c r="N278" i="2"/>
  <c r="O278" i="2" s="1"/>
  <c r="L279" i="2"/>
  <c r="M279" i="2"/>
  <c r="N279" i="2"/>
  <c r="O279" i="2" s="1"/>
  <c r="L280" i="2"/>
  <c r="J280" i="2" s="1"/>
  <c r="M280" i="2"/>
  <c r="N280" i="2"/>
  <c r="O280" i="2" s="1"/>
  <c r="L281" i="2"/>
  <c r="J281" i="2" s="1"/>
  <c r="M281" i="2"/>
  <c r="N281" i="2"/>
  <c r="O281" i="2" s="1"/>
  <c r="L282" i="2"/>
  <c r="J282" i="2" s="1"/>
  <c r="M282" i="2"/>
  <c r="N282" i="2"/>
  <c r="O282" i="2" s="1"/>
  <c r="L283" i="2"/>
  <c r="M283" i="2"/>
  <c r="N283" i="2"/>
  <c r="O283" i="2" s="1"/>
  <c r="L284" i="2"/>
  <c r="J284" i="2" s="1"/>
  <c r="M284" i="2"/>
  <c r="N284" i="2"/>
  <c r="O284" i="2" s="1"/>
  <c r="L285" i="2"/>
  <c r="J285" i="2" s="1"/>
  <c r="M285" i="2"/>
  <c r="N285" i="2"/>
  <c r="O285" i="2" s="1"/>
  <c r="L286" i="2"/>
  <c r="M286" i="2"/>
  <c r="N286" i="2"/>
  <c r="O286" i="2" s="1"/>
  <c r="L287" i="2"/>
  <c r="M287" i="2"/>
  <c r="N287" i="2"/>
  <c r="O287" i="2" s="1"/>
  <c r="L288" i="2"/>
  <c r="J288" i="2" s="1"/>
  <c r="M288" i="2"/>
  <c r="N288" i="2"/>
  <c r="O288" i="2" s="1"/>
  <c r="L289" i="2"/>
  <c r="J289" i="2" s="1"/>
  <c r="M289" i="2"/>
  <c r="N289" i="2"/>
  <c r="O289" i="2" s="1"/>
  <c r="L290" i="2"/>
  <c r="J290" i="2" s="1"/>
  <c r="M290" i="2"/>
  <c r="N290" i="2"/>
  <c r="O290" i="2" s="1"/>
  <c r="L291" i="2"/>
  <c r="M291" i="2"/>
  <c r="N291" i="2"/>
  <c r="O291" i="2" s="1"/>
  <c r="L292" i="2"/>
  <c r="J292" i="2" s="1"/>
  <c r="M292" i="2"/>
  <c r="N292" i="2"/>
  <c r="O292" i="2" s="1"/>
  <c r="L293" i="2"/>
  <c r="J293" i="2" s="1"/>
  <c r="M293" i="2"/>
  <c r="N293" i="2"/>
  <c r="O293" i="2" s="1"/>
  <c r="L294" i="2"/>
  <c r="M294" i="2"/>
  <c r="N294" i="2"/>
  <c r="O294" i="2" s="1"/>
  <c r="L295" i="2"/>
  <c r="M295" i="2"/>
  <c r="N295" i="2"/>
  <c r="O295" i="2" s="1"/>
  <c r="L296" i="2"/>
  <c r="J296" i="2" s="1"/>
  <c r="M296" i="2"/>
  <c r="N296" i="2"/>
  <c r="O296" i="2" s="1"/>
  <c r="L297" i="2"/>
  <c r="J297" i="2" s="1"/>
  <c r="M297" i="2"/>
  <c r="N297" i="2"/>
  <c r="O297" i="2" s="1"/>
  <c r="L298" i="2"/>
  <c r="J298" i="2" s="1"/>
  <c r="M298" i="2"/>
  <c r="N298" i="2"/>
  <c r="O298" i="2" s="1"/>
  <c r="L299" i="2"/>
  <c r="M299" i="2"/>
  <c r="N299" i="2"/>
  <c r="O299" i="2" s="1"/>
  <c r="L300" i="2"/>
  <c r="J300" i="2" s="1"/>
  <c r="M300" i="2"/>
  <c r="N300" i="2"/>
  <c r="O300" i="2" s="1"/>
  <c r="L301" i="2"/>
  <c r="J301" i="2" s="1"/>
  <c r="M301" i="2"/>
  <c r="N301" i="2"/>
  <c r="O301" i="2" s="1"/>
  <c r="L302" i="2"/>
  <c r="M302" i="2"/>
  <c r="N302" i="2"/>
  <c r="O302" i="2" s="1"/>
  <c r="L303" i="2"/>
  <c r="M303" i="2"/>
  <c r="N303" i="2"/>
  <c r="O303" i="2" s="1"/>
  <c r="L304" i="2"/>
  <c r="J304" i="2" s="1"/>
  <c r="M304" i="2"/>
  <c r="N304" i="2"/>
  <c r="O304" i="2" s="1"/>
  <c r="L305" i="2"/>
  <c r="J305" i="2" s="1"/>
  <c r="M305" i="2"/>
  <c r="N305" i="2"/>
  <c r="O305" i="2" s="1"/>
  <c r="L306" i="2"/>
  <c r="J306" i="2" s="1"/>
  <c r="M306" i="2"/>
  <c r="N306" i="2"/>
  <c r="O306" i="2" s="1"/>
  <c r="L307" i="2"/>
  <c r="M307" i="2"/>
  <c r="N307" i="2"/>
  <c r="O307" i="2" s="1"/>
  <c r="L308" i="2"/>
  <c r="J308" i="2" s="1"/>
  <c r="M308" i="2"/>
  <c r="N308" i="2"/>
  <c r="O308" i="2" s="1"/>
  <c r="L309" i="2"/>
  <c r="J309" i="2" s="1"/>
  <c r="M309" i="2"/>
  <c r="N309" i="2"/>
  <c r="O309" i="2" s="1"/>
  <c r="L310" i="2"/>
  <c r="M310" i="2"/>
  <c r="N310" i="2"/>
  <c r="O310" i="2" s="1"/>
  <c r="L311" i="2"/>
  <c r="M311" i="2"/>
  <c r="N311" i="2"/>
  <c r="O311" i="2" s="1"/>
  <c r="L312" i="2"/>
  <c r="J312" i="2" s="1"/>
  <c r="M312" i="2"/>
  <c r="N312" i="2"/>
  <c r="O312" i="2" s="1"/>
  <c r="L313" i="2"/>
  <c r="J313" i="2" s="1"/>
  <c r="M313" i="2"/>
  <c r="N313" i="2"/>
  <c r="O313" i="2" s="1"/>
  <c r="L314" i="2"/>
  <c r="J314" i="2" s="1"/>
  <c r="M314" i="2"/>
  <c r="N314" i="2"/>
  <c r="O314" i="2" s="1"/>
  <c r="L315" i="2"/>
  <c r="M315" i="2"/>
  <c r="N315" i="2"/>
  <c r="O315" i="2" s="1"/>
  <c r="L316" i="2"/>
  <c r="J316" i="2" s="1"/>
  <c r="M316" i="2"/>
  <c r="N316" i="2"/>
  <c r="O316" i="2" s="1"/>
  <c r="L317" i="2"/>
  <c r="J317" i="2" s="1"/>
  <c r="M317" i="2"/>
  <c r="N317" i="2"/>
  <c r="O317" i="2" s="1"/>
  <c r="L318" i="2"/>
  <c r="M318" i="2"/>
  <c r="N318" i="2"/>
  <c r="O318" i="2" s="1"/>
  <c r="L319" i="2"/>
  <c r="M319" i="2"/>
  <c r="N319" i="2"/>
  <c r="O319" i="2" s="1"/>
  <c r="L320" i="2"/>
  <c r="J320" i="2" s="1"/>
  <c r="M320" i="2"/>
  <c r="N320" i="2"/>
  <c r="O320" i="2" s="1"/>
  <c r="L321" i="2"/>
  <c r="J321" i="2" s="1"/>
  <c r="M321" i="2"/>
  <c r="N321" i="2"/>
  <c r="O321" i="2" s="1"/>
  <c r="L322" i="2"/>
  <c r="J322" i="2" s="1"/>
  <c r="M322" i="2"/>
  <c r="N322" i="2"/>
  <c r="O322" i="2" s="1"/>
  <c r="L323" i="2"/>
  <c r="M323" i="2"/>
  <c r="N323" i="2"/>
  <c r="O323" i="2" s="1"/>
  <c r="L324" i="2"/>
  <c r="J324" i="2" s="1"/>
  <c r="M324" i="2"/>
  <c r="N324" i="2"/>
  <c r="O324" i="2" s="1"/>
  <c r="L325" i="2"/>
  <c r="J325" i="2" s="1"/>
  <c r="M325" i="2"/>
  <c r="N325" i="2"/>
  <c r="O325" i="2" s="1"/>
  <c r="L326" i="2"/>
  <c r="M326" i="2"/>
  <c r="N326" i="2"/>
  <c r="O326" i="2" s="1"/>
  <c r="L327" i="2"/>
  <c r="M327" i="2"/>
  <c r="N327" i="2"/>
  <c r="O327" i="2" s="1"/>
  <c r="L328" i="2"/>
  <c r="J328" i="2" s="1"/>
  <c r="M328" i="2"/>
  <c r="N328" i="2"/>
  <c r="O328" i="2" s="1"/>
  <c r="L329" i="2"/>
  <c r="J329" i="2" s="1"/>
  <c r="M329" i="2"/>
  <c r="N329" i="2"/>
  <c r="O329" i="2" s="1"/>
  <c r="L330" i="2"/>
  <c r="J330" i="2" s="1"/>
  <c r="M330" i="2"/>
  <c r="N330" i="2"/>
  <c r="O330" i="2" s="1"/>
  <c r="L331" i="2"/>
  <c r="M331" i="2"/>
  <c r="N331" i="2"/>
  <c r="O331" i="2" s="1"/>
  <c r="L332" i="2"/>
  <c r="J332" i="2" s="1"/>
  <c r="M332" i="2"/>
  <c r="N332" i="2"/>
  <c r="O332" i="2" s="1"/>
  <c r="L333" i="2"/>
  <c r="J333" i="2" s="1"/>
  <c r="M333" i="2"/>
  <c r="N333" i="2"/>
  <c r="O333" i="2" s="1"/>
  <c r="L334" i="2"/>
  <c r="M334" i="2"/>
  <c r="N334" i="2"/>
  <c r="O334" i="2" s="1"/>
  <c r="L335" i="2"/>
  <c r="M335" i="2"/>
  <c r="N335" i="2"/>
  <c r="O335" i="2" s="1"/>
  <c r="L336" i="2"/>
  <c r="J336" i="2" s="1"/>
  <c r="M336" i="2"/>
  <c r="N336" i="2"/>
  <c r="O336" i="2" s="1"/>
  <c r="L337" i="2"/>
  <c r="M337" i="2"/>
  <c r="N337" i="2"/>
  <c r="O337" i="2" s="1"/>
  <c r="L338" i="2"/>
  <c r="J338" i="2" s="1"/>
  <c r="M338" i="2"/>
  <c r="N338" i="2"/>
  <c r="O338" i="2" s="1"/>
  <c r="L339" i="2"/>
  <c r="J339" i="2" s="1"/>
  <c r="M339" i="2"/>
  <c r="N339" i="2"/>
  <c r="O339" i="2" s="1"/>
  <c r="L340" i="2"/>
  <c r="J340" i="2" s="1"/>
  <c r="M340" i="2"/>
  <c r="N340" i="2"/>
  <c r="O340" i="2" s="1"/>
  <c r="L341" i="2"/>
  <c r="J341" i="2" s="1"/>
  <c r="M341" i="2"/>
  <c r="N341" i="2"/>
  <c r="O341" i="2" s="1"/>
  <c r="L342" i="2"/>
  <c r="J342" i="2" s="1"/>
  <c r="M342" i="2"/>
  <c r="N342" i="2"/>
  <c r="O342" i="2" s="1"/>
  <c r="L343" i="2"/>
  <c r="J343" i="2" s="1"/>
  <c r="M343" i="2"/>
  <c r="N343" i="2"/>
  <c r="O343" i="2" s="1"/>
  <c r="L344" i="2"/>
  <c r="J344" i="2" s="1"/>
  <c r="M344" i="2"/>
  <c r="N344" i="2"/>
  <c r="O344" i="2" s="1"/>
  <c r="L345" i="2"/>
  <c r="J345" i="2" s="1"/>
  <c r="M345" i="2"/>
  <c r="N345" i="2"/>
  <c r="O345" i="2" s="1"/>
  <c r="L346" i="2"/>
  <c r="J346" i="2" s="1"/>
  <c r="M346" i="2"/>
  <c r="N346" i="2"/>
  <c r="O346" i="2" s="1"/>
  <c r="L347" i="2"/>
  <c r="J347" i="2" s="1"/>
  <c r="M347" i="2"/>
  <c r="N347" i="2"/>
  <c r="O347" i="2" s="1"/>
  <c r="L348" i="2"/>
  <c r="J348" i="2" s="1"/>
  <c r="M348" i="2"/>
  <c r="N348" i="2"/>
  <c r="O348" i="2" s="1"/>
  <c r="L349" i="2"/>
  <c r="J349" i="2" s="1"/>
  <c r="M349" i="2"/>
  <c r="N349" i="2"/>
  <c r="O349" i="2" s="1"/>
  <c r="L350" i="2"/>
  <c r="J350" i="2" s="1"/>
  <c r="M350" i="2"/>
  <c r="N350" i="2"/>
  <c r="O350" i="2" s="1"/>
  <c r="L351" i="2"/>
  <c r="J351" i="2" s="1"/>
  <c r="M351" i="2"/>
  <c r="N351" i="2"/>
  <c r="O351" i="2" s="1"/>
  <c r="L352" i="2"/>
  <c r="J352" i="2" s="1"/>
  <c r="M352" i="2"/>
  <c r="N352" i="2"/>
  <c r="O352" i="2" s="1"/>
  <c r="L353" i="2"/>
  <c r="J353" i="2" s="1"/>
  <c r="M353" i="2"/>
  <c r="N353" i="2"/>
  <c r="O353" i="2" s="1"/>
  <c r="L354" i="2"/>
  <c r="M354" i="2"/>
  <c r="N354" i="2"/>
  <c r="O354" i="2" s="1"/>
  <c r="L355" i="2"/>
  <c r="M355" i="2"/>
  <c r="N355" i="2"/>
  <c r="O355" i="2" s="1"/>
  <c r="L356" i="2"/>
  <c r="M356" i="2"/>
  <c r="N356" i="2"/>
  <c r="O356" i="2" s="1"/>
  <c r="L357" i="2"/>
  <c r="M357" i="2"/>
  <c r="N357" i="2"/>
  <c r="O357" i="2" s="1"/>
  <c r="L358" i="2"/>
  <c r="M358" i="2"/>
  <c r="N358" i="2"/>
  <c r="O358" i="2" s="1"/>
  <c r="L359" i="2"/>
  <c r="M359" i="2"/>
  <c r="N359" i="2"/>
  <c r="O359" i="2" s="1"/>
  <c r="L360" i="2"/>
  <c r="M360" i="2"/>
  <c r="N360" i="2"/>
  <c r="O360" i="2" s="1"/>
  <c r="L361" i="2"/>
  <c r="M361" i="2"/>
  <c r="N361" i="2"/>
  <c r="O361" i="2" s="1"/>
  <c r="L362" i="2"/>
  <c r="M362" i="2"/>
  <c r="N362" i="2"/>
  <c r="O362" i="2" s="1"/>
  <c r="L363" i="2"/>
  <c r="M363" i="2"/>
  <c r="N363" i="2"/>
  <c r="O363" i="2" s="1"/>
  <c r="L364" i="2"/>
  <c r="M364" i="2"/>
  <c r="N364" i="2"/>
  <c r="O364" i="2" s="1"/>
  <c r="L365" i="2"/>
  <c r="M365" i="2"/>
  <c r="N365" i="2"/>
  <c r="O365" i="2" s="1"/>
  <c r="L366" i="2"/>
  <c r="M366" i="2"/>
  <c r="N366" i="2"/>
  <c r="O366" i="2" s="1"/>
  <c r="L367" i="2"/>
  <c r="M367" i="2"/>
  <c r="N367" i="2"/>
  <c r="O367" i="2" s="1"/>
  <c r="L368" i="2"/>
  <c r="M368" i="2"/>
  <c r="N368" i="2"/>
  <c r="O368" i="2" s="1"/>
  <c r="L369" i="2"/>
  <c r="M369" i="2"/>
  <c r="N369" i="2"/>
  <c r="O369" i="2" s="1"/>
  <c r="L370" i="2"/>
  <c r="M370" i="2"/>
  <c r="N370" i="2"/>
  <c r="O370" i="2" s="1"/>
  <c r="L371" i="2"/>
  <c r="M371" i="2"/>
  <c r="N371" i="2"/>
  <c r="O371" i="2" s="1"/>
  <c r="L372" i="2"/>
  <c r="M372" i="2"/>
  <c r="N372" i="2"/>
  <c r="O372" i="2" s="1"/>
  <c r="L373" i="2"/>
  <c r="M373" i="2"/>
  <c r="N373" i="2"/>
  <c r="O373" i="2" s="1"/>
  <c r="L374" i="2"/>
  <c r="M374" i="2"/>
  <c r="N374" i="2"/>
  <c r="O374" i="2" s="1"/>
  <c r="L375" i="2"/>
  <c r="M375" i="2"/>
  <c r="N375" i="2"/>
  <c r="O375" i="2" s="1"/>
  <c r="L376" i="2"/>
  <c r="M376" i="2"/>
  <c r="N376" i="2"/>
  <c r="O376" i="2" s="1"/>
  <c r="L377" i="2"/>
  <c r="M377" i="2"/>
  <c r="N377" i="2"/>
  <c r="O377" i="2" s="1"/>
  <c r="L378" i="2"/>
  <c r="M378" i="2"/>
  <c r="N378" i="2"/>
  <c r="O378" i="2" s="1"/>
  <c r="L379" i="2"/>
  <c r="M379" i="2"/>
  <c r="N379" i="2"/>
  <c r="O379" i="2" s="1"/>
  <c r="L380" i="2"/>
  <c r="M380" i="2"/>
  <c r="N380" i="2"/>
  <c r="O380" i="2" s="1"/>
  <c r="L381" i="2"/>
  <c r="M381" i="2"/>
  <c r="N381" i="2"/>
  <c r="O381" i="2" s="1"/>
  <c r="L382" i="2"/>
  <c r="M382" i="2"/>
  <c r="N382" i="2"/>
  <c r="O382" i="2" s="1"/>
  <c r="L383" i="2"/>
  <c r="M383" i="2"/>
  <c r="N383" i="2"/>
  <c r="O383" i="2" s="1"/>
  <c r="L384" i="2"/>
  <c r="M384" i="2"/>
  <c r="N384" i="2"/>
  <c r="O384" i="2" s="1"/>
  <c r="L385" i="2"/>
  <c r="M385" i="2"/>
  <c r="N385" i="2"/>
  <c r="O385" i="2" s="1"/>
  <c r="L386" i="2"/>
  <c r="M386" i="2"/>
  <c r="N386" i="2"/>
  <c r="O386" i="2" s="1"/>
  <c r="L387" i="2"/>
  <c r="M387" i="2"/>
  <c r="N387" i="2"/>
  <c r="O387" i="2" s="1"/>
  <c r="L388" i="2"/>
  <c r="M388" i="2"/>
  <c r="N388" i="2"/>
  <c r="O388" i="2" s="1"/>
  <c r="L389" i="2"/>
  <c r="M389" i="2"/>
  <c r="N389" i="2"/>
  <c r="O389" i="2" s="1"/>
  <c r="L390" i="2"/>
  <c r="M390" i="2"/>
  <c r="N390" i="2"/>
  <c r="O390" i="2" s="1"/>
  <c r="L391" i="2"/>
  <c r="M391" i="2"/>
  <c r="N391" i="2"/>
  <c r="O391" i="2" s="1"/>
  <c r="L392" i="2"/>
  <c r="M392" i="2"/>
  <c r="N392" i="2"/>
  <c r="O392" i="2" s="1"/>
  <c r="L393" i="2"/>
  <c r="M393" i="2"/>
  <c r="N393" i="2"/>
  <c r="O393" i="2" s="1"/>
  <c r="L394" i="2"/>
  <c r="M394" i="2"/>
  <c r="N394" i="2"/>
  <c r="O394" i="2" s="1"/>
  <c r="L395" i="2"/>
  <c r="M395" i="2"/>
  <c r="N395" i="2"/>
  <c r="O395" i="2" s="1"/>
  <c r="L396" i="2"/>
  <c r="M396" i="2"/>
  <c r="N396" i="2"/>
  <c r="O396" i="2" s="1"/>
  <c r="L397" i="2"/>
  <c r="M397" i="2"/>
  <c r="N397" i="2"/>
  <c r="O397" i="2" s="1"/>
  <c r="L398" i="2"/>
  <c r="J398" i="2" s="1"/>
  <c r="M398" i="2"/>
  <c r="N398" i="2"/>
  <c r="O398" i="2" s="1"/>
  <c r="L399" i="2"/>
  <c r="M399" i="2"/>
  <c r="N399" i="2"/>
  <c r="O399" i="2" s="1"/>
  <c r="L400" i="2"/>
  <c r="M400" i="2"/>
  <c r="N400" i="2"/>
  <c r="O400" i="2" s="1"/>
  <c r="L401" i="2"/>
  <c r="M401" i="2"/>
  <c r="N401" i="2"/>
  <c r="O401" i="2" s="1"/>
  <c r="L402" i="2"/>
  <c r="M402" i="2"/>
  <c r="N402" i="2"/>
  <c r="O402" i="2" s="1"/>
  <c r="L403" i="2"/>
  <c r="M403" i="2"/>
  <c r="N403" i="2"/>
  <c r="O403" i="2" s="1"/>
  <c r="L404" i="2"/>
  <c r="M404" i="2"/>
  <c r="N404" i="2"/>
  <c r="O404" i="2" s="1"/>
  <c r="L405" i="2"/>
  <c r="M405" i="2"/>
  <c r="N405" i="2"/>
  <c r="O405" i="2" s="1"/>
  <c r="L406" i="2"/>
  <c r="M406" i="2"/>
  <c r="N406" i="2"/>
  <c r="O406" i="2" s="1"/>
  <c r="L407" i="2"/>
  <c r="M407" i="2"/>
  <c r="N407" i="2"/>
  <c r="O407" i="2" s="1"/>
  <c r="L408" i="2"/>
  <c r="M408" i="2"/>
  <c r="N408" i="2"/>
  <c r="O408" i="2" s="1"/>
  <c r="L409" i="2"/>
  <c r="M409" i="2"/>
  <c r="N409" i="2"/>
  <c r="O409" i="2" s="1"/>
  <c r="L410" i="2"/>
  <c r="M410" i="2"/>
  <c r="N410" i="2"/>
  <c r="O410" i="2" s="1"/>
  <c r="L411" i="2"/>
  <c r="J411" i="2" s="1"/>
  <c r="M411" i="2"/>
  <c r="N411" i="2"/>
  <c r="O411" i="2" s="1"/>
  <c r="L412" i="2"/>
  <c r="M412" i="2"/>
  <c r="N412" i="2"/>
  <c r="O412" i="2" s="1"/>
  <c r="L413" i="2"/>
  <c r="M413" i="2"/>
  <c r="N413" i="2"/>
  <c r="O413" i="2" s="1"/>
  <c r="L414" i="2"/>
  <c r="M414" i="2"/>
  <c r="N414" i="2"/>
  <c r="O414" i="2" s="1"/>
  <c r="L415" i="2"/>
  <c r="M415" i="2"/>
  <c r="N415" i="2"/>
  <c r="O415" i="2" s="1"/>
  <c r="L416" i="2"/>
  <c r="M416" i="2"/>
  <c r="N416" i="2"/>
  <c r="O416" i="2" s="1"/>
  <c r="L417" i="2"/>
  <c r="M417" i="2"/>
  <c r="N417" i="2"/>
  <c r="O417" i="2" s="1"/>
  <c r="L418" i="2"/>
  <c r="M418" i="2"/>
  <c r="N418" i="2"/>
  <c r="O418" i="2" s="1"/>
  <c r="L419" i="2"/>
  <c r="M419" i="2"/>
  <c r="N419" i="2"/>
  <c r="O419" i="2" s="1"/>
  <c r="L420" i="2"/>
  <c r="M420" i="2"/>
  <c r="N420" i="2"/>
  <c r="O420" i="2" s="1"/>
  <c r="L421" i="2"/>
  <c r="M421" i="2"/>
  <c r="N421" i="2"/>
  <c r="O421" i="2" s="1"/>
  <c r="L422" i="2"/>
  <c r="M422" i="2"/>
  <c r="N422" i="2"/>
  <c r="O422" i="2" s="1"/>
  <c r="L423" i="2"/>
  <c r="M423" i="2"/>
  <c r="N423" i="2"/>
  <c r="O423" i="2" s="1"/>
  <c r="L424" i="2"/>
  <c r="J424" i="2" s="1"/>
  <c r="M424" i="2"/>
  <c r="N424" i="2"/>
  <c r="O424" i="2" s="1"/>
  <c r="L425" i="2"/>
  <c r="M425" i="2"/>
  <c r="N425" i="2"/>
  <c r="O425" i="2" s="1"/>
  <c r="L426" i="2"/>
  <c r="M426" i="2"/>
  <c r="N426" i="2"/>
  <c r="O426" i="2" s="1"/>
  <c r="L427" i="2"/>
  <c r="M427" i="2"/>
  <c r="N427" i="2"/>
  <c r="O427" i="2" s="1"/>
  <c r="L428" i="2"/>
  <c r="J428" i="2" s="1"/>
  <c r="M428" i="2"/>
  <c r="N428" i="2"/>
  <c r="O428" i="2" s="1"/>
  <c r="L429" i="2"/>
  <c r="M429" i="2"/>
  <c r="N429" i="2"/>
  <c r="O429" i="2" s="1"/>
  <c r="L430" i="2"/>
  <c r="M430" i="2"/>
  <c r="N430" i="2"/>
  <c r="O430" i="2" s="1"/>
  <c r="L431" i="2"/>
  <c r="M431" i="2"/>
  <c r="N431" i="2"/>
  <c r="O431" i="2" s="1"/>
  <c r="L432" i="2"/>
  <c r="M432" i="2"/>
  <c r="N432" i="2"/>
  <c r="O432" i="2" s="1"/>
  <c r="L433" i="2"/>
  <c r="M433" i="2"/>
  <c r="N433" i="2"/>
  <c r="O433" i="2" s="1"/>
  <c r="L434" i="2"/>
  <c r="M434" i="2"/>
  <c r="N434" i="2"/>
  <c r="O434" i="2" s="1"/>
  <c r="L435" i="2"/>
  <c r="M435" i="2"/>
  <c r="N435" i="2"/>
  <c r="O435" i="2" s="1"/>
  <c r="L436" i="2"/>
  <c r="J436" i="2" s="1"/>
  <c r="M436" i="2"/>
  <c r="N436" i="2"/>
  <c r="O436" i="2" s="1"/>
  <c r="L437" i="2"/>
  <c r="M437" i="2"/>
  <c r="N437" i="2"/>
  <c r="O437" i="2" s="1"/>
  <c r="L438" i="2"/>
  <c r="M438" i="2"/>
  <c r="N438" i="2"/>
  <c r="O438" i="2" s="1"/>
  <c r="L439" i="2"/>
  <c r="M439" i="2"/>
  <c r="N439" i="2"/>
  <c r="O439" i="2" s="1"/>
  <c r="L440" i="2"/>
  <c r="J440" i="2" s="1"/>
  <c r="M440" i="2"/>
  <c r="N440" i="2"/>
  <c r="O440" i="2" s="1"/>
  <c r="L441" i="2"/>
  <c r="M441" i="2"/>
  <c r="N441" i="2"/>
  <c r="O441" i="2" s="1"/>
  <c r="L442" i="2"/>
  <c r="M442" i="2"/>
  <c r="N442" i="2"/>
  <c r="O442" i="2" s="1"/>
  <c r="L443" i="2"/>
  <c r="M443" i="2"/>
  <c r="N443" i="2"/>
  <c r="O443" i="2" s="1"/>
  <c r="L444" i="2"/>
  <c r="J444" i="2" s="1"/>
  <c r="M444" i="2"/>
  <c r="N444" i="2"/>
  <c r="O444" i="2" s="1"/>
  <c r="L445" i="2"/>
  <c r="M445" i="2"/>
  <c r="N445" i="2"/>
  <c r="O445" i="2" s="1"/>
  <c r="L446" i="2"/>
  <c r="M446" i="2"/>
  <c r="N446" i="2"/>
  <c r="O446" i="2" s="1"/>
  <c r="L447" i="2"/>
  <c r="M447" i="2"/>
  <c r="N447" i="2"/>
  <c r="O447" i="2" s="1"/>
  <c r="L448" i="2"/>
  <c r="J448" i="2" s="1"/>
  <c r="M448" i="2"/>
  <c r="N448" i="2"/>
  <c r="O448" i="2" s="1"/>
  <c r="L449" i="2"/>
  <c r="M449" i="2"/>
  <c r="N449" i="2"/>
  <c r="O449" i="2" s="1"/>
  <c r="L450" i="2"/>
  <c r="M450" i="2"/>
  <c r="N450" i="2"/>
  <c r="O450" i="2" s="1"/>
  <c r="L451" i="2"/>
  <c r="M451" i="2"/>
  <c r="N451" i="2"/>
  <c r="O451" i="2" s="1"/>
  <c r="L452" i="2"/>
  <c r="M452" i="2"/>
  <c r="N452" i="2"/>
  <c r="O452" i="2" s="1"/>
  <c r="L453" i="2"/>
  <c r="M453" i="2"/>
  <c r="N453" i="2"/>
  <c r="O453" i="2" s="1"/>
  <c r="L454" i="2"/>
  <c r="M454" i="2"/>
  <c r="N454" i="2"/>
  <c r="O454" i="2" s="1"/>
  <c r="L455" i="2"/>
  <c r="M455" i="2"/>
  <c r="N455" i="2"/>
  <c r="O455" i="2" s="1"/>
  <c r="Q36" i="2" l="1"/>
  <c r="Q44" i="2"/>
  <c r="Q20" i="2"/>
  <c r="Q52" i="2"/>
  <c r="AH9" i="2"/>
  <c r="P43" i="2"/>
  <c r="Q43" i="2" s="1"/>
  <c r="P35" i="2"/>
  <c r="Q35" i="2" s="1"/>
  <c r="K35" i="2" s="1"/>
  <c r="P27" i="2"/>
  <c r="Q27" i="2" s="1"/>
  <c r="P58" i="2"/>
  <c r="Q58" i="2" s="1"/>
  <c r="P50" i="2"/>
  <c r="Q50" i="2" s="1"/>
  <c r="P34" i="2"/>
  <c r="Q34" i="2" s="1"/>
  <c r="P26" i="2"/>
  <c r="Q26" i="2" s="1"/>
  <c r="P18" i="2"/>
  <c r="Q18" i="2" s="1"/>
  <c r="O52" i="2"/>
  <c r="O44" i="2"/>
  <c r="O36" i="2"/>
  <c r="O20" i="2"/>
  <c r="P56" i="2"/>
  <c r="Q56" i="2" s="1"/>
  <c r="P40" i="2"/>
  <c r="Q40" i="2" s="1"/>
  <c r="P32" i="2"/>
  <c r="Q32" i="2" s="1"/>
  <c r="O49" i="2"/>
  <c r="O41" i="2"/>
  <c r="O25" i="2"/>
  <c r="P47" i="2"/>
  <c r="Q47" i="2" s="1"/>
  <c r="P39" i="2"/>
  <c r="Q39" i="2" s="1"/>
  <c r="P31" i="2"/>
  <c r="Q31" i="2" s="1"/>
  <c r="P23" i="2"/>
  <c r="Q23" i="2" s="1"/>
  <c r="O22" i="2"/>
  <c r="P22" i="2"/>
  <c r="Q22" i="2" s="1"/>
  <c r="O54" i="2"/>
  <c r="O46" i="2"/>
  <c r="P37" i="2"/>
  <c r="Q37" i="2" s="1"/>
  <c r="P29" i="2"/>
  <c r="Q29" i="2" s="1"/>
  <c r="P4" i="2"/>
  <c r="AH12" i="2"/>
  <c r="AH11" i="2"/>
  <c r="AH10" i="2"/>
  <c r="AH13" i="2"/>
  <c r="P11" i="2"/>
  <c r="Q11" i="2" s="1"/>
  <c r="K11" i="2" s="1"/>
  <c r="O12" i="2"/>
  <c r="P10" i="2"/>
  <c r="Q10" i="2" s="1"/>
  <c r="O13" i="2"/>
  <c r="O9" i="2"/>
  <c r="AH8" i="2"/>
  <c r="AH7" i="2"/>
  <c r="AH6" i="2"/>
  <c r="AH5" i="2"/>
  <c r="O6" i="2"/>
  <c r="AD195" i="2"/>
  <c r="AD314" i="2"/>
  <c r="AD235" i="2"/>
  <c r="AD176" i="2"/>
  <c r="AD179" i="2"/>
  <c r="AD192" i="2"/>
  <c r="AD172" i="2"/>
  <c r="AD267" i="2"/>
  <c r="AD175" i="2"/>
  <c r="AD169" i="2"/>
  <c r="AD263" i="2"/>
  <c r="AD167" i="2"/>
  <c r="AD181" i="2"/>
  <c r="AD193" i="2"/>
  <c r="AD188" i="2"/>
  <c r="AD184" i="2"/>
  <c r="AD92" i="2"/>
  <c r="AD262" i="2"/>
  <c r="AD200" i="2"/>
  <c r="AD97" i="2"/>
  <c r="AD95" i="2"/>
  <c r="AD301" i="2"/>
  <c r="AD189" i="2"/>
  <c r="AD110" i="2"/>
  <c r="AD254" i="2"/>
  <c r="AD173" i="2"/>
  <c r="AD171" i="2"/>
  <c r="AD108" i="2"/>
  <c r="AD256" i="2"/>
  <c r="AD201" i="2"/>
  <c r="AD196" i="2"/>
  <c r="AD182" i="2"/>
  <c r="AD174" i="2"/>
  <c r="AD168" i="2"/>
  <c r="AD191" i="2"/>
  <c r="AD185" i="2"/>
  <c r="AD98" i="2"/>
  <c r="AD180" i="2"/>
  <c r="AD96" i="2"/>
  <c r="AD94" i="2"/>
  <c r="AD109" i="2"/>
  <c r="AD107" i="2"/>
  <c r="AD90" i="2"/>
  <c r="AD223" i="2"/>
  <c r="AD259" i="2"/>
  <c r="AD251" i="2"/>
  <c r="AC223" i="2"/>
  <c r="AD104" i="2"/>
  <c r="AD102" i="2"/>
  <c r="AC92" i="2"/>
  <c r="AD203" i="2"/>
  <c r="AD199" i="2"/>
  <c r="AD99" i="2"/>
  <c r="AD308" i="2"/>
  <c r="AD293" i="2"/>
  <c r="AD285" i="2"/>
  <c r="AD277" i="2"/>
  <c r="AD271" i="2"/>
  <c r="AD190" i="2"/>
  <c r="AD187" i="2"/>
  <c r="AD183" i="2"/>
  <c r="AD125" i="2"/>
  <c r="AD117" i="2"/>
  <c r="AD306" i="2"/>
  <c r="AD197" i="2"/>
  <c r="AD177" i="2"/>
  <c r="AD313" i="2"/>
  <c r="AD265" i="2"/>
  <c r="AD255" i="2"/>
  <c r="AD105" i="2"/>
  <c r="AD316" i="2"/>
  <c r="AD268" i="2"/>
  <c r="AD253" i="2"/>
  <c r="AD198" i="2"/>
  <c r="AD250" i="2"/>
  <c r="AD266" i="2"/>
  <c r="AD365" i="2"/>
  <c r="AD321" i="2"/>
  <c r="AD207" i="2"/>
  <c r="AD325" i="2"/>
  <c r="AC321" i="2"/>
  <c r="AD257" i="2"/>
  <c r="AD226" i="2"/>
  <c r="AD222" i="2"/>
  <c r="AD218" i="2"/>
  <c r="AD208" i="2"/>
  <c r="AC207" i="2"/>
  <c r="AD100" i="2"/>
  <c r="AD341" i="2"/>
  <c r="AD329" i="2"/>
  <c r="AC325" i="2"/>
  <c r="AD317" i="2"/>
  <c r="AD309" i="2"/>
  <c r="AD304" i="2"/>
  <c r="AD296" i="2"/>
  <c r="AD288" i="2"/>
  <c r="AD280" i="2"/>
  <c r="AD272" i="2"/>
  <c r="AD269" i="2"/>
  <c r="AD258" i="2"/>
  <c r="AD252" i="2"/>
  <c r="AD242" i="2"/>
  <c r="AC222" i="2"/>
  <c r="AD219" i="2"/>
  <c r="AC218" i="2"/>
  <c r="AD214" i="2"/>
  <c r="AC208" i="2"/>
  <c r="AD333" i="2"/>
  <c r="AD312" i="2"/>
  <c r="AD260" i="2"/>
  <c r="AD234" i="2"/>
  <c r="AD210" i="2"/>
  <c r="AD129" i="2"/>
  <c r="AD112" i="2"/>
  <c r="AD377" i="2"/>
  <c r="AD369" i="2"/>
  <c r="AD361" i="2"/>
  <c r="AD353" i="2"/>
  <c r="AD345" i="2"/>
  <c r="AD337" i="2"/>
  <c r="AC333" i="2"/>
  <c r="AD311" i="2"/>
  <c r="AD298" i="2"/>
  <c r="AD290" i="2"/>
  <c r="AD282" i="2"/>
  <c r="AD274" i="2"/>
  <c r="AC234" i="2"/>
  <c r="AD215" i="2"/>
  <c r="AD373" i="2"/>
  <c r="AD357" i="2"/>
  <c r="AD349" i="2"/>
  <c r="AD305" i="2"/>
  <c r="AD300" i="2"/>
  <c r="AD297" i="2"/>
  <c r="AD292" i="2"/>
  <c r="AD289" i="2"/>
  <c r="AD284" i="2"/>
  <c r="AD281" i="2"/>
  <c r="AD276" i="2"/>
  <c r="AD273" i="2"/>
  <c r="AD270" i="2"/>
  <c r="AD211" i="2"/>
  <c r="AD121" i="2"/>
  <c r="AD106" i="2"/>
  <c r="AD101" i="2"/>
  <c r="AD93" i="2"/>
  <c r="AD91" i="2"/>
  <c r="AD264" i="2"/>
  <c r="AD261" i="2"/>
  <c r="AC211" i="2"/>
  <c r="AD202" i="2"/>
  <c r="AD194" i="2"/>
  <c r="AD186" i="2"/>
  <c r="AD178" i="2"/>
  <c r="AD170" i="2"/>
  <c r="AD165" i="2"/>
  <c r="AD113" i="2"/>
  <c r="AD111" i="2"/>
  <c r="AD103" i="2"/>
  <c r="AI7" i="2"/>
  <c r="AJ7" i="2" s="1"/>
  <c r="AD7" i="2" s="1"/>
  <c r="AI15" i="2"/>
  <c r="AJ15" i="2" s="1"/>
  <c r="AD15" i="2" s="1"/>
  <c r="AI8" i="2"/>
  <c r="AJ8" i="2" s="1"/>
  <c r="AD8" i="2" s="1"/>
  <c r="AI17" i="2"/>
  <c r="AJ17" i="2" s="1"/>
  <c r="AD17" i="2" s="1"/>
  <c r="AI9" i="2"/>
  <c r="AJ9" i="2" s="1"/>
  <c r="AD9" i="2" s="1"/>
  <c r="AI12" i="2"/>
  <c r="AJ12" i="2" s="1"/>
  <c r="AD12" i="2" s="1"/>
  <c r="AI13" i="2"/>
  <c r="AJ13" i="2" s="1"/>
  <c r="AD13" i="2" s="1"/>
  <c r="AI5" i="2"/>
  <c r="AJ5" i="2" s="1"/>
  <c r="AD5" i="2" s="1"/>
  <c r="AI14" i="2"/>
  <c r="AJ14" i="2" s="1"/>
  <c r="AD14" i="2" s="1"/>
  <c r="AI6" i="2"/>
  <c r="AJ6" i="2" s="1"/>
  <c r="AD6" i="2" s="1"/>
  <c r="AD431" i="2"/>
  <c r="AD391" i="2"/>
  <c r="AD423" i="2"/>
  <c r="AD455" i="2"/>
  <c r="AD454" i="2"/>
  <c r="AD453" i="2"/>
  <c r="AD452" i="2"/>
  <c r="AD451" i="2"/>
  <c r="AD450" i="2"/>
  <c r="AD449" i="2"/>
  <c r="AD448" i="2"/>
  <c r="AD447" i="2"/>
  <c r="AD446" i="2"/>
  <c r="AD445" i="2"/>
  <c r="AD444" i="2"/>
  <c r="AD443" i="2"/>
  <c r="AD442" i="2"/>
  <c r="AD441" i="2"/>
  <c r="AD440" i="2"/>
  <c r="AD432" i="2"/>
  <c r="AC431" i="2"/>
  <c r="AD424" i="2"/>
  <c r="AC423" i="2"/>
  <c r="AD416" i="2"/>
  <c r="AD408" i="2"/>
  <c r="AD400" i="2"/>
  <c r="AD392" i="2"/>
  <c r="AC391" i="2"/>
  <c r="AD384" i="2"/>
  <c r="AC377" i="2"/>
  <c r="AC373" i="2"/>
  <c r="AC369" i="2"/>
  <c r="AC365" i="2"/>
  <c r="AC361" i="2"/>
  <c r="AC357" i="2"/>
  <c r="AC353" i="2"/>
  <c r="AC349" i="2"/>
  <c r="AC345" i="2"/>
  <c r="AC341" i="2"/>
  <c r="AD433" i="2"/>
  <c r="AD425" i="2"/>
  <c r="AD417" i="2"/>
  <c r="AD409" i="2"/>
  <c r="AD401" i="2"/>
  <c r="AD393" i="2"/>
  <c r="AD385" i="2"/>
  <c r="AD378" i="2"/>
  <c r="AD374" i="2"/>
  <c r="AD370" i="2"/>
  <c r="AD366" i="2"/>
  <c r="AD362" i="2"/>
  <c r="AD358" i="2"/>
  <c r="AD354" i="2"/>
  <c r="AD350" i="2"/>
  <c r="AD346" i="2"/>
  <c r="AD342" i="2"/>
  <c r="AD338" i="2"/>
  <c r="AD334" i="2"/>
  <c r="AD330" i="2"/>
  <c r="AD326" i="2"/>
  <c r="AD322" i="2"/>
  <c r="AC318" i="2"/>
  <c r="AD318" i="2"/>
  <c r="AC315" i="2"/>
  <c r="AD315" i="2"/>
  <c r="AD303" i="2"/>
  <c r="AD295" i="2"/>
  <c r="AD287" i="2"/>
  <c r="AD279" i="2"/>
  <c r="AD407" i="2"/>
  <c r="AD399" i="2"/>
  <c r="AD383" i="2"/>
  <c r="AD434" i="2"/>
  <c r="AD426" i="2"/>
  <c r="AD418" i="2"/>
  <c r="AD410" i="2"/>
  <c r="AD402" i="2"/>
  <c r="AD394" i="2"/>
  <c r="AD386" i="2"/>
  <c r="AD427" i="2"/>
  <c r="AD419" i="2"/>
  <c r="AD411" i="2"/>
  <c r="AD403" i="2"/>
  <c r="AD395" i="2"/>
  <c r="AD387" i="2"/>
  <c r="AD379" i="2"/>
  <c r="AD375" i="2"/>
  <c r="AD371" i="2"/>
  <c r="AD367" i="2"/>
  <c r="AD363" i="2"/>
  <c r="AD359" i="2"/>
  <c r="AD355" i="2"/>
  <c r="AD351" i="2"/>
  <c r="AD347" i="2"/>
  <c r="AD343" i="2"/>
  <c r="AD339" i="2"/>
  <c r="AD335" i="2"/>
  <c r="AD331" i="2"/>
  <c r="AD327" i="2"/>
  <c r="AD323" i="2"/>
  <c r="AD319" i="2"/>
  <c r="AD224" i="2"/>
  <c r="AC224" i="2"/>
  <c r="AD439" i="2"/>
  <c r="AD435" i="2"/>
  <c r="AD436" i="2"/>
  <c r="AC435" i="2"/>
  <c r="AD428" i="2"/>
  <c r="AC427" i="2"/>
  <c r="AD420" i="2"/>
  <c r="AC419" i="2"/>
  <c r="AD412" i="2"/>
  <c r="AC411" i="2"/>
  <c r="AD404" i="2"/>
  <c r="AC403" i="2"/>
  <c r="AD396" i="2"/>
  <c r="AC395" i="2"/>
  <c r="AD388" i="2"/>
  <c r="AC387" i="2"/>
  <c r="AD380" i="2"/>
  <c r="AC379" i="2"/>
  <c r="AC375" i="2"/>
  <c r="AC371" i="2"/>
  <c r="AC367" i="2"/>
  <c r="AC363" i="2"/>
  <c r="AC359" i="2"/>
  <c r="AC355" i="2"/>
  <c r="AC351" i="2"/>
  <c r="AC347" i="2"/>
  <c r="AC343" i="2"/>
  <c r="AC339" i="2"/>
  <c r="AC307" i="2"/>
  <c r="AD307" i="2"/>
  <c r="AC299" i="2"/>
  <c r="AD299" i="2"/>
  <c r="AC291" i="2"/>
  <c r="AD291" i="2"/>
  <c r="AC283" i="2"/>
  <c r="AD283" i="2"/>
  <c r="AC275" i="2"/>
  <c r="AD275" i="2"/>
  <c r="AD437" i="2"/>
  <c r="AD429" i="2"/>
  <c r="AD421" i="2"/>
  <c r="AD413" i="2"/>
  <c r="AD405" i="2"/>
  <c r="AD397" i="2"/>
  <c r="AD389" i="2"/>
  <c r="AD381" i="2"/>
  <c r="AD376" i="2"/>
  <c r="AD372" i="2"/>
  <c r="AD368" i="2"/>
  <c r="AD364" i="2"/>
  <c r="AD360" i="2"/>
  <c r="AD356" i="2"/>
  <c r="AD352" i="2"/>
  <c r="AD348" i="2"/>
  <c r="AD344" i="2"/>
  <c r="AD340" i="2"/>
  <c r="AD336" i="2"/>
  <c r="AD332" i="2"/>
  <c r="AD328" i="2"/>
  <c r="AD324" i="2"/>
  <c r="AD320" i="2"/>
  <c r="AC310" i="2"/>
  <c r="AD310" i="2"/>
  <c r="AD415" i="2"/>
  <c r="AD438" i="2"/>
  <c r="AC437" i="2"/>
  <c r="AD430" i="2"/>
  <c r="AC429" i="2"/>
  <c r="AD422" i="2"/>
  <c r="AC421" i="2"/>
  <c r="AD414" i="2"/>
  <c r="AC413" i="2"/>
  <c r="AD406" i="2"/>
  <c r="AC405" i="2"/>
  <c r="AD398" i="2"/>
  <c r="AC397" i="2"/>
  <c r="AD390" i="2"/>
  <c r="AC389" i="2"/>
  <c r="AD382" i="2"/>
  <c r="AC381" i="2"/>
  <c r="AC376" i="2"/>
  <c r="AC372" i="2"/>
  <c r="AC368" i="2"/>
  <c r="AC364" i="2"/>
  <c r="AC360" i="2"/>
  <c r="AC356" i="2"/>
  <c r="AC352" i="2"/>
  <c r="AC348" i="2"/>
  <c r="AC344" i="2"/>
  <c r="AC340" i="2"/>
  <c r="AD220" i="2"/>
  <c r="AC220" i="2"/>
  <c r="AD243" i="2"/>
  <c r="AD247" i="2"/>
  <c r="AD216" i="2"/>
  <c r="AC216" i="2"/>
  <c r="AD302" i="2"/>
  <c r="AD294" i="2"/>
  <c r="AD286" i="2"/>
  <c r="AD278" i="2"/>
  <c r="AC247" i="2"/>
  <c r="AD239" i="2"/>
  <c r="AC235" i="2"/>
  <c r="AD227" i="2"/>
  <c r="AC226" i="2"/>
  <c r="AD212" i="2"/>
  <c r="AD248" i="2"/>
  <c r="AC248" i="2"/>
  <c r="AD244" i="2"/>
  <c r="AC244" i="2"/>
  <c r="AC239" i="2"/>
  <c r="AD231" i="2"/>
  <c r="AC227" i="2"/>
  <c r="AD240" i="2"/>
  <c r="AC240" i="2"/>
  <c r="AD236" i="2"/>
  <c r="AC236" i="2"/>
  <c r="AD232" i="2"/>
  <c r="AC232" i="2"/>
  <c r="AD228" i="2"/>
  <c r="AC228" i="2"/>
  <c r="AD249" i="2"/>
  <c r="AD241" i="2"/>
  <c r="AD233" i="2"/>
  <c r="AD225" i="2"/>
  <c r="AD217" i="2"/>
  <c r="AD209" i="2"/>
  <c r="AD204" i="2"/>
  <c r="AD245" i="2"/>
  <c r="AD237" i="2"/>
  <c r="AD229" i="2"/>
  <c r="AD221" i="2"/>
  <c r="AD213" i="2"/>
  <c r="AD205" i="2"/>
  <c r="AD246" i="2"/>
  <c r="AC245" i="2"/>
  <c r="AD238" i="2"/>
  <c r="AC237" i="2"/>
  <c r="AD230" i="2"/>
  <c r="AC229" i="2"/>
  <c r="AC221" i="2"/>
  <c r="AD206" i="2"/>
  <c r="AD163" i="2"/>
  <c r="AD159" i="2"/>
  <c r="AD155" i="2"/>
  <c r="AD151" i="2"/>
  <c r="AD147" i="2"/>
  <c r="AD143" i="2"/>
  <c r="AD139" i="2"/>
  <c r="AD135" i="2"/>
  <c r="AD131" i="2"/>
  <c r="AD127" i="2"/>
  <c r="AD123" i="2"/>
  <c r="AD119" i="2"/>
  <c r="AD115" i="2"/>
  <c r="AC89" i="2"/>
  <c r="AD89" i="2"/>
  <c r="AD164" i="2"/>
  <c r="AD160" i="2"/>
  <c r="AD156" i="2"/>
  <c r="AD152" i="2"/>
  <c r="AD148" i="2"/>
  <c r="AD144" i="2"/>
  <c r="AD140" i="2"/>
  <c r="AD136" i="2"/>
  <c r="AD132" i="2"/>
  <c r="AD128" i="2"/>
  <c r="AD124" i="2"/>
  <c r="AD120" i="2"/>
  <c r="AD116" i="2"/>
  <c r="AD166" i="2"/>
  <c r="AD161" i="2"/>
  <c r="AD157" i="2"/>
  <c r="AD153" i="2"/>
  <c r="AD149" i="2"/>
  <c r="AD145" i="2"/>
  <c r="AD141" i="2"/>
  <c r="AD137" i="2"/>
  <c r="AD133" i="2"/>
  <c r="AD88" i="2"/>
  <c r="AD162" i="2"/>
  <c r="AD158" i="2"/>
  <c r="AD154" i="2"/>
  <c r="AD150" i="2"/>
  <c r="AD146" i="2"/>
  <c r="AD142" i="2"/>
  <c r="AD138" i="2"/>
  <c r="AD134" i="2"/>
  <c r="AD130" i="2"/>
  <c r="AD126" i="2"/>
  <c r="AD122" i="2"/>
  <c r="AD118" i="2"/>
  <c r="AD114" i="2"/>
  <c r="AC80" i="2"/>
  <c r="AD80" i="2"/>
  <c r="AC72" i="2"/>
  <c r="AD72" i="2"/>
  <c r="AC64" i="2"/>
  <c r="AD64" i="2"/>
  <c r="AC56" i="2"/>
  <c r="AD56" i="2"/>
  <c r="AC48" i="2"/>
  <c r="AD48" i="2"/>
  <c r="AC40" i="2"/>
  <c r="AD40" i="2"/>
  <c r="AC32" i="2"/>
  <c r="AD32" i="2"/>
  <c r="AC24" i="2"/>
  <c r="AD24" i="2"/>
  <c r="AC83" i="2"/>
  <c r="AD83" i="2"/>
  <c r="AC75" i="2"/>
  <c r="AD75" i="2"/>
  <c r="AC67" i="2"/>
  <c r="AD67" i="2"/>
  <c r="AC59" i="2"/>
  <c r="AD59" i="2"/>
  <c r="AC51" i="2"/>
  <c r="AD51" i="2"/>
  <c r="AC43" i="2"/>
  <c r="AD43" i="2"/>
  <c r="AC35" i="2"/>
  <c r="AD35" i="2"/>
  <c r="AC27" i="2"/>
  <c r="AD27" i="2"/>
  <c r="AC19" i="2"/>
  <c r="AD19" i="2"/>
  <c r="AC86" i="2"/>
  <c r="AD86" i="2"/>
  <c r="AC78" i="2"/>
  <c r="AD78" i="2"/>
  <c r="AC70" i="2"/>
  <c r="AD70" i="2"/>
  <c r="AC62" i="2"/>
  <c r="AD62" i="2"/>
  <c r="AC54" i="2"/>
  <c r="AD54" i="2"/>
  <c r="AC46" i="2"/>
  <c r="AD46" i="2"/>
  <c r="AC38" i="2"/>
  <c r="AD38" i="2"/>
  <c r="AC30" i="2"/>
  <c r="AD30" i="2"/>
  <c r="AC22" i="2"/>
  <c r="AD22" i="2"/>
  <c r="AC81" i="2"/>
  <c r="AD81" i="2"/>
  <c r="AC73" i="2"/>
  <c r="AD73" i="2"/>
  <c r="AC65" i="2"/>
  <c r="AD65" i="2"/>
  <c r="AC57" i="2"/>
  <c r="AD57" i="2"/>
  <c r="AC49" i="2"/>
  <c r="AD49" i="2"/>
  <c r="AC41" i="2"/>
  <c r="AD41" i="2"/>
  <c r="AC33" i="2"/>
  <c r="AD33" i="2"/>
  <c r="AC25" i="2"/>
  <c r="AD25" i="2"/>
  <c r="AC84" i="2"/>
  <c r="AD84" i="2"/>
  <c r="AC76" i="2"/>
  <c r="AD76" i="2"/>
  <c r="AC68" i="2"/>
  <c r="AD68" i="2"/>
  <c r="AC60" i="2"/>
  <c r="AD60" i="2"/>
  <c r="AC52" i="2"/>
  <c r="AD52" i="2"/>
  <c r="AC44" i="2"/>
  <c r="AD44" i="2"/>
  <c r="AC36" i="2"/>
  <c r="AD36" i="2"/>
  <c r="AC28" i="2"/>
  <c r="AD28" i="2"/>
  <c r="AC20" i="2"/>
  <c r="AD20" i="2"/>
  <c r="AC87" i="2"/>
  <c r="AD87" i="2"/>
  <c r="AC79" i="2"/>
  <c r="AD79" i="2"/>
  <c r="AC71" i="2"/>
  <c r="AD71" i="2"/>
  <c r="AC63" i="2"/>
  <c r="AD63" i="2"/>
  <c r="AC55" i="2"/>
  <c r="AD55" i="2"/>
  <c r="AC47" i="2"/>
  <c r="AD47" i="2"/>
  <c r="AC39" i="2"/>
  <c r="AD39" i="2"/>
  <c r="AC31" i="2"/>
  <c r="AD31" i="2"/>
  <c r="AC23" i="2"/>
  <c r="AD23" i="2"/>
  <c r="AC82" i="2"/>
  <c r="AD82" i="2"/>
  <c r="AC74" i="2"/>
  <c r="AD74" i="2"/>
  <c r="AC66" i="2"/>
  <c r="AD66" i="2"/>
  <c r="AC58" i="2"/>
  <c r="AD58" i="2"/>
  <c r="AC50" i="2"/>
  <c r="AD50" i="2"/>
  <c r="AC42" i="2"/>
  <c r="AD42" i="2"/>
  <c r="AC34" i="2"/>
  <c r="AD34" i="2"/>
  <c r="AC26" i="2"/>
  <c r="AD26" i="2"/>
  <c r="AC85" i="2"/>
  <c r="AD85" i="2"/>
  <c r="AC77" i="2"/>
  <c r="AD77" i="2"/>
  <c r="AC69" i="2"/>
  <c r="AD69" i="2"/>
  <c r="AC61" i="2"/>
  <c r="AD61" i="2"/>
  <c r="AC53" i="2"/>
  <c r="AD53" i="2"/>
  <c r="AC45" i="2"/>
  <c r="AD45" i="2"/>
  <c r="AC37" i="2"/>
  <c r="AD37" i="2"/>
  <c r="AC29" i="2"/>
  <c r="AD29" i="2"/>
  <c r="AC21" i="2"/>
  <c r="AD21" i="2"/>
  <c r="AD18" i="2"/>
  <c r="AD16" i="2"/>
  <c r="AD11" i="2"/>
  <c r="AD10" i="2"/>
  <c r="O14" i="2"/>
  <c r="P17" i="2"/>
  <c r="Q17" i="2" s="1"/>
  <c r="K17" i="2" s="1"/>
  <c r="O16" i="2"/>
  <c r="P16" i="2"/>
  <c r="Q16" i="2" s="1"/>
  <c r="K16" i="2" s="1"/>
  <c r="P15" i="2"/>
  <c r="Q15" i="2" s="1"/>
  <c r="K15" i="2" s="1"/>
  <c r="P12" i="2"/>
  <c r="Q12" i="2" s="1"/>
  <c r="K12" i="2" s="1"/>
  <c r="P14" i="2"/>
  <c r="Q14" i="2" s="1"/>
  <c r="K14" i="2" s="1"/>
  <c r="P13" i="2"/>
  <c r="Q13" i="2" s="1"/>
  <c r="K13" i="2" s="1"/>
  <c r="O8" i="2"/>
  <c r="P9" i="2"/>
  <c r="Q9" i="2" s="1"/>
  <c r="K9" i="2" s="1"/>
  <c r="O7" i="2"/>
  <c r="P8" i="2"/>
  <c r="Q8" i="2" s="1"/>
  <c r="K8" i="2" s="1"/>
  <c r="P6" i="2"/>
  <c r="Q6" i="2" s="1"/>
  <c r="K6" i="2" s="1"/>
  <c r="P5" i="2"/>
  <c r="Q5" i="2" s="1"/>
  <c r="P7" i="2"/>
  <c r="Q7" i="2" s="1"/>
  <c r="K7" i="2" s="1"/>
  <c r="O4" i="2"/>
  <c r="Q4" i="2"/>
  <c r="O5" i="2"/>
  <c r="D4" i="16"/>
  <c r="D3" i="16" s="1"/>
  <c r="E5" i="16"/>
  <c r="K218" i="2"/>
  <c r="K337" i="2"/>
  <c r="K438" i="2"/>
  <c r="K196" i="2"/>
  <c r="K78" i="2"/>
  <c r="K62" i="2"/>
  <c r="K430" i="2"/>
  <c r="K446" i="2"/>
  <c r="J337" i="2"/>
  <c r="K442" i="2"/>
  <c r="K434" i="2"/>
  <c r="K454" i="2"/>
  <c r="K443" i="2"/>
  <c r="K427" i="2"/>
  <c r="K379" i="2"/>
  <c r="K363" i="2"/>
  <c r="K450" i="2"/>
  <c r="K177" i="2"/>
  <c r="K339" i="2"/>
  <c r="K455" i="2"/>
  <c r="K439" i="2"/>
  <c r="K423" i="2"/>
  <c r="K407" i="2"/>
  <c r="K391" i="2"/>
  <c r="K375" i="2"/>
  <c r="K359" i="2"/>
  <c r="K345" i="2"/>
  <c r="K348" i="2"/>
  <c r="K341" i="2"/>
  <c r="K161" i="2"/>
  <c r="K367" i="2"/>
  <c r="K353" i="2"/>
  <c r="K344" i="2"/>
  <c r="K447" i="2"/>
  <c r="K431" i="2"/>
  <c r="K223" i="2"/>
  <c r="K213" i="2"/>
  <c r="K340" i="2"/>
  <c r="K207" i="2"/>
  <c r="K197" i="2"/>
  <c r="K352" i="2"/>
  <c r="K349" i="2"/>
  <c r="K191" i="2"/>
  <c r="K185" i="2"/>
  <c r="K323" i="2"/>
  <c r="K259" i="2"/>
  <c r="K32" i="2"/>
  <c r="K451" i="2"/>
  <c r="K435" i="2"/>
  <c r="K419" i="2"/>
  <c r="K403" i="2"/>
  <c r="K387" i="2"/>
  <c r="K371" i="2"/>
  <c r="K355" i="2"/>
  <c r="K275" i="2"/>
  <c r="K203" i="2"/>
  <c r="K426" i="2"/>
  <c r="K410" i="2"/>
  <c r="K394" i="2"/>
  <c r="K378" i="2"/>
  <c r="K370" i="2"/>
  <c r="K362" i="2"/>
  <c r="K354" i="2"/>
  <c r="K235" i="2"/>
  <c r="K202" i="2"/>
  <c r="K102" i="2"/>
  <c r="K56" i="2"/>
  <c r="K299" i="2"/>
  <c r="K212" i="2"/>
  <c r="K422" i="2"/>
  <c r="K406" i="2"/>
  <c r="K390" i="2"/>
  <c r="K374" i="2"/>
  <c r="K366" i="2"/>
  <c r="K358" i="2"/>
  <c r="K234" i="2"/>
  <c r="K219" i="2"/>
  <c r="K393" i="2"/>
  <c r="J393" i="2"/>
  <c r="K253" i="2"/>
  <c r="J253" i="2"/>
  <c r="K208" i="2"/>
  <c r="J208" i="2"/>
  <c r="K192" i="2"/>
  <c r="J192" i="2"/>
  <c r="J102" i="2"/>
  <c r="J14" i="2"/>
  <c r="K228" i="2"/>
  <c r="K46" i="2"/>
  <c r="K24" i="2"/>
  <c r="J24" i="2"/>
  <c r="J454" i="2"/>
  <c r="J446" i="2"/>
  <c r="J442" i="2"/>
  <c r="J434" i="2"/>
  <c r="J422" i="2"/>
  <c r="J419" i="2"/>
  <c r="J403" i="2"/>
  <c r="K384" i="2"/>
  <c r="J384" i="2"/>
  <c r="J371" i="2"/>
  <c r="J355" i="2"/>
  <c r="K397" i="2"/>
  <c r="J397" i="2"/>
  <c r="K40" i="2"/>
  <c r="J40" i="2"/>
  <c r="J451" i="2"/>
  <c r="J439" i="2"/>
  <c r="J423" i="2"/>
  <c r="J394" i="2"/>
  <c r="K388" i="2"/>
  <c r="J388" i="2"/>
  <c r="J359" i="2"/>
  <c r="K452" i="2"/>
  <c r="K432" i="2"/>
  <c r="K414" i="2"/>
  <c r="K395" i="2"/>
  <c r="K382" i="2"/>
  <c r="J452" i="2"/>
  <c r="J432" i="2"/>
  <c r="J414" i="2"/>
  <c r="K408" i="2"/>
  <c r="J408" i="2"/>
  <c r="J395" i="2"/>
  <c r="K392" i="2"/>
  <c r="J392" i="2"/>
  <c r="J382" i="2"/>
  <c r="J379" i="2"/>
  <c r="J366" i="2"/>
  <c r="J363" i="2"/>
  <c r="J202" i="2"/>
  <c r="J197" i="2"/>
  <c r="K187" i="2"/>
  <c r="J164" i="2"/>
  <c r="K164" i="2"/>
  <c r="K413" i="2"/>
  <c r="J413" i="2"/>
  <c r="K245" i="2"/>
  <c r="J245" i="2"/>
  <c r="K224" i="2"/>
  <c r="J224" i="2"/>
  <c r="J431" i="2"/>
  <c r="J427" i="2"/>
  <c r="J391" i="2"/>
  <c r="J362" i="2"/>
  <c r="K448" i="2"/>
  <c r="K444" i="2"/>
  <c r="K440" i="2"/>
  <c r="K428" i="2"/>
  <c r="K424" i="2"/>
  <c r="K401" i="2"/>
  <c r="J401" i="2"/>
  <c r="K385" i="2"/>
  <c r="J385" i="2"/>
  <c r="K449" i="2"/>
  <c r="K441" i="2"/>
  <c r="K433" i="2"/>
  <c r="K425" i="2"/>
  <c r="K415" i="2"/>
  <c r="K402" i="2"/>
  <c r="K399" i="2"/>
  <c r="K389" i="2"/>
  <c r="J389" i="2"/>
  <c r="K386" i="2"/>
  <c r="K383" i="2"/>
  <c r="K343" i="2"/>
  <c r="K229" i="2"/>
  <c r="J218" i="2"/>
  <c r="J213" i="2"/>
  <c r="J182" i="2"/>
  <c r="K182" i="2"/>
  <c r="K409" i="2"/>
  <c r="J409" i="2"/>
  <c r="J450" i="2"/>
  <c r="J438" i="2"/>
  <c r="J430" i="2"/>
  <c r="J426" i="2"/>
  <c r="K416" i="2"/>
  <c r="J416" i="2"/>
  <c r="J406" i="2"/>
  <c r="K400" i="2"/>
  <c r="J400" i="2"/>
  <c r="J390" i="2"/>
  <c r="J387" i="2"/>
  <c r="J374" i="2"/>
  <c r="J358" i="2"/>
  <c r="J455" i="2"/>
  <c r="J447" i="2"/>
  <c r="J443" i="2"/>
  <c r="J435" i="2"/>
  <c r="K420" i="2"/>
  <c r="J420" i="2"/>
  <c r="J410" i="2"/>
  <c r="J407" i="2"/>
  <c r="K404" i="2"/>
  <c r="J404" i="2"/>
  <c r="J378" i="2"/>
  <c r="J375" i="2"/>
  <c r="K436" i="2"/>
  <c r="K417" i="2"/>
  <c r="J417" i="2"/>
  <c r="K411" i="2"/>
  <c r="K398" i="2"/>
  <c r="K453" i="2"/>
  <c r="K445" i="2"/>
  <c r="K437" i="2"/>
  <c r="K429" i="2"/>
  <c r="K421" i="2"/>
  <c r="J421" i="2"/>
  <c r="K418" i="2"/>
  <c r="K405" i="2"/>
  <c r="J405" i="2"/>
  <c r="J453" i="2"/>
  <c r="J449" i="2"/>
  <c r="J445" i="2"/>
  <c r="J441" i="2"/>
  <c r="J437" i="2"/>
  <c r="J433" i="2"/>
  <c r="J429" i="2"/>
  <c r="J425" i="2"/>
  <c r="J418" i="2"/>
  <c r="J415" i="2"/>
  <c r="K412" i="2"/>
  <c r="J412" i="2"/>
  <c r="J402" i="2"/>
  <c r="J399" i="2"/>
  <c r="K396" i="2"/>
  <c r="J396" i="2"/>
  <c r="J386" i="2"/>
  <c r="J383" i="2"/>
  <c r="K380" i="2"/>
  <c r="J370" i="2"/>
  <c r="J367" i="2"/>
  <c r="J354" i="2"/>
  <c r="J229" i="2"/>
  <c r="J188" i="2"/>
  <c r="K188" i="2"/>
  <c r="J56" i="2"/>
  <c r="K376" i="2"/>
  <c r="K372" i="2"/>
  <c r="K368" i="2"/>
  <c r="K364" i="2"/>
  <c r="K360" i="2"/>
  <c r="K356" i="2"/>
  <c r="K350" i="2"/>
  <c r="K346" i="2"/>
  <c r="K342" i="2"/>
  <c r="K338" i="2"/>
  <c r="K315" i="2"/>
  <c r="K249" i="2"/>
  <c r="K241" i="2"/>
  <c r="K230" i="2"/>
  <c r="K225" i="2"/>
  <c r="K214" i="2"/>
  <c r="K209" i="2"/>
  <c r="K198" i="2"/>
  <c r="K193" i="2"/>
  <c r="J380" i="2"/>
  <c r="J376" i="2"/>
  <c r="J372" i="2"/>
  <c r="J368" i="2"/>
  <c r="J364" i="2"/>
  <c r="J360" i="2"/>
  <c r="J356" i="2"/>
  <c r="K291" i="2"/>
  <c r="K250" i="2"/>
  <c r="J249" i="2"/>
  <c r="K242" i="2"/>
  <c r="J241" i="2"/>
  <c r="K236" i="2"/>
  <c r="K226" i="2"/>
  <c r="J225" i="2"/>
  <c r="K220" i="2"/>
  <c r="K210" i="2"/>
  <c r="J209" i="2"/>
  <c r="K204" i="2"/>
  <c r="K194" i="2"/>
  <c r="J193" i="2"/>
  <c r="K179" i="2"/>
  <c r="K166" i="2"/>
  <c r="K163" i="2"/>
  <c r="K70" i="2"/>
  <c r="K381" i="2"/>
  <c r="K377" i="2"/>
  <c r="K373" i="2"/>
  <c r="K369" i="2"/>
  <c r="K365" i="2"/>
  <c r="K361" i="2"/>
  <c r="K357" i="2"/>
  <c r="K351" i="2"/>
  <c r="K347" i="2"/>
  <c r="K331" i="2"/>
  <c r="K267" i="2"/>
  <c r="K254" i="2"/>
  <c r="K246" i="2"/>
  <c r="K237" i="2"/>
  <c r="K231" i="2"/>
  <c r="J226" i="2"/>
  <c r="K221" i="2"/>
  <c r="K215" i="2"/>
  <c r="J210" i="2"/>
  <c r="K205" i="2"/>
  <c r="K199" i="2"/>
  <c r="J194" i="2"/>
  <c r="K174" i="2"/>
  <c r="K169" i="2"/>
  <c r="J70" i="2"/>
  <c r="J381" i="2"/>
  <c r="J377" i="2"/>
  <c r="J373" i="2"/>
  <c r="J369" i="2"/>
  <c r="J365" i="2"/>
  <c r="J361" i="2"/>
  <c r="J357" i="2"/>
  <c r="K307" i="2"/>
  <c r="K251" i="2"/>
  <c r="K243" i="2"/>
  <c r="J237" i="2"/>
  <c r="K232" i="2"/>
  <c r="K227" i="2"/>
  <c r="J221" i="2"/>
  <c r="K216" i="2"/>
  <c r="K211" i="2"/>
  <c r="J205" i="2"/>
  <c r="K200" i="2"/>
  <c r="K195" i="2"/>
  <c r="K171" i="2"/>
  <c r="K104" i="2"/>
  <c r="K94" i="2"/>
  <c r="K48" i="2"/>
  <c r="K38" i="2"/>
  <c r="K283" i="2"/>
  <c r="K238" i="2"/>
  <c r="K233" i="2"/>
  <c r="K222" i="2"/>
  <c r="K217" i="2"/>
  <c r="K206" i="2"/>
  <c r="K201" i="2"/>
  <c r="K190" i="2"/>
  <c r="K103" i="2"/>
  <c r="J103" i="2"/>
  <c r="K332" i="2"/>
  <c r="J331" i="2"/>
  <c r="K324" i="2"/>
  <c r="J323" i="2"/>
  <c r="K316" i="2"/>
  <c r="J315" i="2"/>
  <c r="K308" i="2"/>
  <c r="J307" i="2"/>
  <c r="K300" i="2"/>
  <c r="J299" i="2"/>
  <c r="K292" i="2"/>
  <c r="J291" i="2"/>
  <c r="K284" i="2"/>
  <c r="J283" i="2"/>
  <c r="K276" i="2"/>
  <c r="J275" i="2"/>
  <c r="K268" i="2"/>
  <c r="J267" i="2"/>
  <c r="K260" i="2"/>
  <c r="J259" i="2"/>
  <c r="K252" i="2"/>
  <c r="J251" i="2"/>
  <c r="K244" i="2"/>
  <c r="J243" i="2"/>
  <c r="J235" i="2"/>
  <c r="J227" i="2"/>
  <c r="J219" i="2"/>
  <c r="J211" i="2"/>
  <c r="J203" i="2"/>
  <c r="J195" i="2"/>
  <c r="J175" i="2"/>
  <c r="K175" i="2"/>
  <c r="J165" i="2"/>
  <c r="K165" i="2"/>
  <c r="J62" i="2"/>
  <c r="K333" i="2"/>
  <c r="K325" i="2"/>
  <c r="K317" i="2"/>
  <c r="K309" i="2"/>
  <c r="K301" i="2"/>
  <c r="K293" i="2"/>
  <c r="K285" i="2"/>
  <c r="K277" i="2"/>
  <c r="K269" i="2"/>
  <c r="K261" i="2"/>
  <c r="J244" i="2"/>
  <c r="J236" i="2"/>
  <c r="J228" i="2"/>
  <c r="J220" i="2"/>
  <c r="J212" i="2"/>
  <c r="J204" i="2"/>
  <c r="J196" i="2"/>
  <c r="J189" i="2"/>
  <c r="K189" i="2"/>
  <c r="K172" i="2"/>
  <c r="J154" i="2"/>
  <c r="K154" i="2"/>
  <c r="J146" i="2"/>
  <c r="K146" i="2"/>
  <c r="J138" i="2"/>
  <c r="K138" i="2"/>
  <c r="J130" i="2"/>
  <c r="K130" i="2"/>
  <c r="J122" i="2"/>
  <c r="K122" i="2"/>
  <c r="J110" i="2"/>
  <c r="K110" i="2"/>
  <c r="K73" i="2"/>
  <c r="J73" i="2"/>
  <c r="K334" i="2"/>
  <c r="K326" i="2"/>
  <c r="K318" i="2"/>
  <c r="K310" i="2"/>
  <c r="K302" i="2"/>
  <c r="K294" i="2"/>
  <c r="K286" i="2"/>
  <c r="K278" i="2"/>
  <c r="K270" i="2"/>
  <c r="K262" i="2"/>
  <c r="K87" i="2"/>
  <c r="J87" i="2"/>
  <c r="K30" i="2"/>
  <c r="J30" i="2"/>
  <c r="K335" i="2"/>
  <c r="J334" i="2"/>
  <c r="K327" i="2"/>
  <c r="J326" i="2"/>
  <c r="K319" i="2"/>
  <c r="J318" i="2"/>
  <c r="K311" i="2"/>
  <c r="J310" i="2"/>
  <c r="K303" i="2"/>
  <c r="J302" i="2"/>
  <c r="K295" i="2"/>
  <c r="J294" i="2"/>
  <c r="K287" i="2"/>
  <c r="J286" i="2"/>
  <c r="K279" i="2"/>
  <c r="J278" i="2"/>
  <c r="K271" i="2"/>
  <c r="J270" i="2"/>
  <c r="K263" i="2"/>
  <c r="J262" i="2"/>
  <c r="K255" i="2"/>
  <c r="J254" i="2"/>
  <c r="K247" i="2"/>
  <c r="J246" i="2"/>
  <c r="K239" i="2"/>
  <c r="J238" i="2"/>
  <c r="J230" i="2"/>
  <c r="J222" i="2"/>
  <c r="J214" i="2"/>
  <c r="J206" i="2"/>
  <c r="J198" i="2"/>
  <c r="J190" i="2"/>
  <c r="J183" i="2"/>
  <c r="K183" i="2"/>
  <c r="J173" i="2"/>
  <c r="K173" i="2"/>
  <c r="J114" i="2"/>
  <c r="K114" i="2"/>
  <c r="K336" i="2"/>
  <c r="J335" i="2"/>
  <c r="K328" i="2"/>
  <c r="J327" i="2"/>
  <c r="K320" i="2"/>
  <c r="J319" i="2"/>
  <c r="K312" i="2"/>
  <c r="J311" i="2"/>
  <c r="K304" i="2"/>
  <c r="J303" i="2"/>
  <c r="K296" i="2"/>
  <c r="J295" i="2"/>
  <c r="K288" i="2"/>
  <c r="J287" i="2"/>
  <c r="K280" i="2"/>
  <c r="J279" i="2"/>
  <c r="K272" i="2"/>
  <c r="J271" i="2"/>
  <c r="K264" i="2"/>
  <c r="J263" i="2"/>
  <c r="K256" i="2"/>
  <c r="J255" i="2"/>
  <c r="K248" i="2"/>
  <c r="J247" i="2"/>
  <c r="K240" i="2"/>
  <c r="J239" i="2"/>
  <c r="J231" i="2"/>
  <c r="J223" i="2"/>
  <c r="J215" i="2"/>
  <c r="J207" i="2"/>
  <c r="J199" i="2"/>
  <c r="J191" i="2"/>
  <c r="K180" i="2"/>
  <c r="J94" i="2"/>
  <c r="K91" i="2"/>
  <c r="J91" i="2"/>
  <c r="K329" i="2"/>
  <c r="K321" i="2"/>
  <c r="K313" i="2"/>
  <c r="K305" i="2"/>
  <c r="K297" i="2"/>
  <c r="K289" i="2"/>
  <c r="K281" i="2"/>
  <c r="K273" i="2"/>
  <c r="K265" i="2"/>
  <c r="K257" i="2"/>
  <c r="J167" i="2"/>
  <c r="K167" i="2"/>
  <c r="J158" i="2"/>
  <c r="K158" i="2"/>
  <c r="J150" i="2"/>
  <c r="K150" i="2"/>
  <c r="J142" i="2"/>
  <c r="K142" i="2"/>
  <c r="J134" i="2"/>
  <c r="K134" i="2"/>
  <c r="J126" i="2"/>
  <c r="K126" i="2"/>
  <c r="J118" i="2"/>
  <c r="K118" i="2"/>
  <c r="K55" i="2"/>
  <c r="J55" i="2"/>
  <c r="K330" i="2"/>
  <c r="K322" i="2"/>
  <c r="K314" i="2"/>
  <c r="K306" i="2"/>
  <c r="K298" i="2"/>
  <c r="K290" i="2"/>
  <c r="K282" i="2"/>
  <c r="K274" i="2"/>
  <c r="K266" i="2"/>
  <c r="K258" i="2"/>
  <c r="J181" i="2"/>
  <c r="K181" i="2"/>
  <c r="K41" i="2"/>
  <c r="J41" i="2"/>
  <c r="J17" i="2"/>
  <c r="J159" i="2"/>
  <c r="K159" i="2"/>
  <c r="J155" i="2"/>
  <c r="K155" i="2"/>
  <c r="J151" i="2"/>
  <c r="K151" i="2"/>
  <c r="J147" i="2"/>
  <c r="K147" i="2"/>
  <c r="J143" i="2"/>
  <c r="K143" i="2"/>
  <c r="J139" i="2"/>
  <c r="K139" i="2"/>
  <c r="J135" i="2"/>
  <c r="K135" i="2"/>
  <c r="J131" i="2"/>
  <c r="K131" i="2"/>
  <c r="J127" i="2"/>
  <c r="K127" i="2"/>
  <c r="J123" i="2"/>
  <c r="K123" i="2"/>
  <c r="J119" i="2"/>
  <c r="K119" i="2"/>
  <c r="J115" i="2"/>
  <c r="K115" i="2"/>
  <c r="J111" i="2"/>
  <c r="K111" i="2"/>
  <c r="K107" i="2"/>
  <c r="J107" i="2"/>
  <c r="K95" i="2"/>
  <c r="J95" i="2"/>
  <c r="K63" i="2"/>
  <c r="J63" i="2"/>
  <c r="K31" i="2"/>
  <c r="J31" i="2"/>
  <c r="K99" i="2"/>
  <c r="J99" i="2"/>
  <c r="K81" i="2"/>
  <c r="J81" i="2"/>
  <c r="K49" i="2"/>
  <c r="J49" i="2"/>
  <c r="J160" i="2"/>
  <c r="K160" i="2"/>
  <c r="J156" i="2"/>
  <c r="K156" i="2"/>
  <c r="J152" i="2"/>
  <c r="K152" i="2"/>
  <c r="J148" i="2"/>
  <c r="K148" i="2"/>
  <c r="J144" i="2"/>
  <c r="K144" i="2"/>
  <c r="J140" i="2"/>
  <c r="K140" i="2"/>
  <c r="J136" i="2"/>
  <c r="K136" i="2"/>
  <c r="J132" i="2"/>
  <c r="K132" i="2"/>
  <c r="J128" i="2"/>
  <c r="K128" i="2"/>
  <c r="J124" i="2"/>
  <c r="K124" i="2"/>
  <c r="J120" i="2"/>
  <c r="K120" i="2"/>
  <c r="J116" i="2"/>
  <c r="K116" i="2"/>
  <c r="J112" i="2"/>
  <c r="K112" i="2"/>
  <c r="J108" i="2"/>
  <c r="K108" i="2"/>
  <c r="J104" i="2"/>
  <c r="K71" i="2"/>
  <c r="J71" i="2"/>
  <c r="K39" i="2"/>
  <c r="J39" i="2"/>
  <c r="K25" i="2"/>
  <c r="J25" i="2"/>
  <c r="J15" i="2"/>
  <c r="J8" i="2"/>
  <c r="K184" i="2"/>
  <c r="K176" i="2"/>
  <c r="K168" i="2"/>
  <c r="K89" i="2"/>
  <c r="J89" i="2"/>
  <c r="J78" i="2"/>
  <c r="K57" i="2"/>
  <c r="J57" i="2"/>
  <c r="J46" i="2"/>
  <c r="K22" i="2"/>
  <c r="J157" i="2"/>
  <c r="K157" i="2"/>
  <c r="J153" i="2"/>
  <c r="K153" i="2"/>
  <c r="J149" i="2"/>
  <c r="K149" i="2"/>
  <c r="J145" i="2"/>
  <c r="K145" i="2"/>
  <c r="J141" i="2"/>
  <c r="K141" i="2"/>
  <c r="J137" i="2"/>
  <c r="K137" i="2"/>
  <c r="J133" i="2"/>
  <c r="K133" i="2"/>
  <c r="J129" i="2"/>
  <c r="K129" i="2"/>
  <c r="J125" i="2"/>
  <c r="K125" i="2"/>
  <c r="J121" i="2"/>
  <c r="K121" i="2"/>
  <c r="J117" i="2"/>
  <c r="K117" i="2"/>
  <c r="J113" i="2"/>
  <c r="K113" i="2"/>
  <c r="J109" i="2"/>
  <c r="K109" i="2"/>
  <c r="K105" i="2"/>
  <c r="J105" i="2"/>
  <c r="K86" i="2"/>
  <c r="K79" i="2"/>
  <c r="J79" i="2"/>
  <c r="K54" i="2"/>
  <c r="K47" i="2"/>
  <c r="J47" i="2"/>
  <c r="K186" i="2"/>
  <c r="K178" i="2"/>
  <c r="K170" i="2"/>
  <c r="K162" i="2"/>
  <c r="K97" i="2"/>
  <c r="J97" i="2"/>
  <c r="K83" i="2"/>
  <c r="J83" i="2"/>
  <c r="K65" i="2"/>
  <c r="J65" i="2"/>
  <c r="K33" i="2"/>
  <c r="J33" i="2"/>
  <c r="K23" i="2"/>
  <c r="J23" i="2"/>
  <c r="K96" i="2"/>
  <c r="K88" i="2"/>
  <c r="K80" i="2"/>
  <c r="K72" i="2"/>
  <c r="K64" i="2"/>
  <c r="J9" i="2"/>
  <c r="K106" i="2"/>
  <c r="K98" i="2"/>
  <c r="K90" i="2"/>
  <c r="K82" i="2"/>
  <c r="K74" i="2"/>
  <c r="K66" i="2"/>
  <c r="K58" i="2"/>
  <c r="K50" i="2"/>
  <c r="K42" i="2"/>
  <c r="K34" i="2"/>
  <c r="K26" i="2"/>
  <c r="K18" i="2"/>
  <c r="J10" i="2"/>
  <c r="K10" i="2"/>
  <c r="J6" i="2"/>
  <c r="K75" i="2"/>
  <c r="K67" i="2"/>
  <c r="K59" i="2"/>
  <c r="K51" i="2"/>
  <c r="K43" i="2"/>
  <c r="K27" i="2"/>
  <c r="J26" i="2"/>
  <c r="K19" i="2"/>
  <c r="J18" i="2"/>
  <c r="K100" i="2"/>
  <c r="K92" i="2"/>
  <c r="K84" i="2"/>
  <c r="K76" i="2"/>
  <c r="J75" i="2"/>
  <c r="K68" i="2"/>
  <c r="J67" i="2"/>
  <c r="K60" i="2"/>
  <c r="J59" i="2"/>
  <c r="K52" i="2"/>
  <c r="J51" i="2"/>
  <c r="K44" i="2"/>
  <c r="J43" i="2"/>
  <c r="K36" i="2"/>
  <c r="J35" i="2"/>
  <c r="K28" i="2"/>
  <c r="J27" i="2"/>
  <c r="K20" i="2"/>
  <c r="J19" i="2"/>
  <c r="J11" i="2"/>
  <c r="J7" i="2"/>
  <c r="K101" i="2"/>
  <c r="J100" i="2"/>
  <c r="K93" i="2"/>
  <c r="J92" i="2"/>
  <c r="K85" i="2"/>
  <c r="J84" i="2"/>
  <c r="K77" i="2"/>
  <c r="J76" i="2"/>
  <c r="K69" i="2"/>
  <c r="J68" i="2"/>
  <c r="K61" i="2"/>
  <c r="J60" i="2"/>
  <c r="K53" i="2"/>
  <c r="J52" i="2"/>
  <c r="K45" i="2"/>
  <c r="J44" i="2"/>
  <c r="K37" i="2"/>
  <c r="J36" i="2"/>
  <c r="K29" i="2"/>
  <c r="J28" i="2"/>
  <c r="K21" i="2"/>
  <c r="J20" i="2"/>
  <c r="J12" i="2"/>
  <c r="B33" i="1"/>
  <c r="B29" i="1"/>
  <c r="I8" i="1"/>
  <c r="G17" i="1"/>
  <c r="B17" i="1"/>
  <c r="G11" i="1"/>
  <c r="B11" i="1"/>
  <c r="P3" i="2" l="1"/>
  <c r="D11" i="1" s="1"/>
  <c r="K5" i="2"/>
  <c r="K4" i="2"/>
  <c r="AI4" i="2"/>
  <c r="AJ4" i="2" l="1"/>
  <c r="AJ3" i="2" s="1"/>
  <c r="I17" i="1" s="1"/>
  <c r="AI3" i="2"/>
  <c r="D17" i="1" s="1"/>
  <c r="AH4" i="2"/>
  <c r="Q3" i="2"/>
  <c r="I11" i="1" s="1"/>
  <c r="B2" i="18"/>
  <c r="C16" i="18"/>
  <c r="AD4" i="2" l="1"/>
  <c r="I14" i="18"/>
  <c r="I13" i="18"/>
  <c r="I12" i="18"/>
  <c r="H14" i="18"/>
  <c r="H13" i="18"/>
  <c r="H12" i="18"/>
  <c r="G14" i="18"/>
  <c r="G13" i="18"/>
  <c r="G12" i="18"/>
  <c r="F14" i="18"/>
  <c r="F13" i="18"/>
  <c r="F12" i="18"/>
  <c r="E13" i="18"/>
  <c r="E12" i="18"/>
  <c r="D14" i="18"/>
  <c r="D13" i="18"/>
  <c r="D12" i="18"/>
  <c r="I7" i="18"/>
  <c r="H7" i="18"/>
  <c r="G7" i="18"/>
  <c r="F7" i="18"/>
  <c r="E7" i="18"/>
  <c r="D7" i="18"/>
  <c r="I6" i="18"/>
  <c r="H6" i="18"/>
  <c r="F6" i="18"/>
  <c r="D6" i="18"/>
  <c r="E6" i="18"/>
  <c r="G6" i="18"/>
  <c r="C13" i="18"/>
  <c r="C12" i="18"/>
  <c r="C7" i="18"/>
  <c r="C6" i="18"/>
  <c r="C8" i="18" l="1"/>
  <c r="B28" i="1" l="1"/>
  <c r="C5" i="16" l="1"/>
  <c r="C6" i="16"/>
  <c r="C7" i="16"/>
  <c r="C8" i="16"/>
  <c r="C9" i="16"/>
  <c r="C10" i="16"/>
  <c r="C11" i="16"/>
  <c r="C12" i="16"/>
  <c r="C13" i="16"/>
  <c r="C14" i="16"/>
  <c r="C15" i="16"/>
  <c r="C16" i="16"/>
  <c r="C17" i="16"/>
  <c r="C18" i="16"/>
  <c r="C19" i="16"/>
  <c r="C20" i="16"/>
  <c r="C21" i="16"/>
  <c r="C22" i="16"/>
  <c r="C23" i="16"/>
  <c r="C24" i="16"/>
  <c r="C25" i="16"/>
  <c r="C26" i="16"/>
  <c r="C27" i="16"/>
  <c r="C28" i="16"/>
  <c r="C29" i="16"/>
  <c r="C30" i="16"/>
  <c r="C31" i="16"/>
  <c r="C32" i="16"/>
  <c r="C33" i="16"/>
  <c r="C34" i="16"/>
  <c r="C35" i="16"/>
  <c r="C36" i="16"/>
  <c r="C37" i="16"/>
  <c r="C38" i="16"/>
  <c r="C39" i="16"/>
  <c r="C40" i="16"/>
  <c r="C41" i="16"/>
  <c r="C42" i="16"/>
  <c r="C43" i="16"/>
  <c r="C44" i="16"/>
  <c r="C45" i="16"/>
  <c r="C46" i="16"/>
  <c r="C47" i="16"/>
  <c r="C48" i="16"/>
  <c r="C49" i="16"/>
  <c r="C50" i="16"/>
  <c r="C51" i="16"/>
  <c r="C52" i="16"/>
  <c r="C53" i="16"/>
  <c r="C54" i="16"/>
  <c r="C55" i="16"/>
  <c r="C56" i="16"/>
  <c r="C57" i="16"/>
  <c r="C58" i="16"/>
  <c r="C59" i="16"/>
  <c r="C60" i="16"/>
  <c r="C61" i="16"/>
  <c r="C62" i="16"/>
  <c r="C63" i="16"/>
  <c r="C64" i="16"/>
  <c r="C65" i="16"/>
  <c r="C66" i="16"/>
  <c r="C67" i="16"/>
  <c r="C68" i="16"/>
  <c r="C69" i="16"/>
  <c r="C70" i="16"/>
  <c r="C71" i="16"/>
  <c r="C72" i="16"/>
  <c r="C73" i="16"/>
  <c r="C74" i="16"/>
  <c r="C75" i="16"/>
  <c r="C76" i="16"/>
  <c r="C77" i="16"/>
  <c r="C78" i="16"/>
  <c r="C79" i="16"/>
  <c r="C80" i="16"/>
  <c r="C81" i="16"/>
  <c r="C82" i="16"/>
  <c r="C83" i="16"/>
  <c r="C84" i="16"/>
  <c r="C85" i="16"/>
  <c r="C86" i="16"/>
  <c r="C87" i="16"/>
  <c r="C88" i="16"/>
  <c r="C89" i="16"/>
  <c r="C90" i="16"/>
  <c r="C91" i="16"/>
  <c r="C92" i="16"/>
  <c r="C93" i="16"/>
  <c r="C94" i="16"/>
  <c r="C95" i="16"/>
  <c r="C96" i="16"/>
  <c r="C97" i="16"/>
  <c r="C98" i="16"/>
  <c r="C99" i="16"/>
  <c r="C100" i="16"/>
  <c r="C101" i="16"/>
  <c r="C102" i="16"/>
  <c r="C103" i="16"/>
  <c r="C4" i="16" l="1"/>
  <c r="C14" i="18" l="1"/>
  <c r="C17" i="18" s="1"/>
  <c r="E14" i="18"/>
  <c r="C15" i="18" l="1"/>
  <c r="J24" i="1" l="1"/>
  <c r="J23" i="1"/>
  <c r="J22" i="1"/>
  <c r="H22" i="1"/>
  <c r="AI456" i="2" l="1"/>
  <c r="AJ456" i="2"/>
  <c r="B26" i="1" l="1"/>
  <c r="E4" i="16"/>
  <c r="Q456" i="2"/>
  <c r="D21" i="1" s="1"/>
  <c r="B27" i="1" s="1"/>
  <c r="P456" i="2"/>
  <c r="E3" i="16"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Qintess</author>
    <author>Rodrigo Rodrigues</author>
  </authors>
  <commentList>
    <comment ref="A2" authorId="0" shapeId="0" xr:uid="{00000000-0006-0000-0100-000001000000}">
      <text>
        <r>
          <rPr>
            <sz val="9"/>
            <color indexed="81"/>
            <rFont val="Segoe UI"/>
            <family val="2"/>
          </rPr>
          <t xml:space="preserve">
Nome da Função ou Identificação do INM.</t>
        </r>
      </text>
    </comment>
    <comment ref="B2" authorId="0" shapeId="0" xr:uid="{00000000-0006-0000-0100-000002000000}">
      <text>
        <r>
          <rPr>
            <sz val="9"/>
            <color indexed="81"/>
            <rFont val="Segoe UI"/>
            <family val="2"/>
          </rPr>
          <t xml:space="preserve">Selecione o Tipo da função.
Lista de seleção dinâmica, apresenta os tipos de função conforme método de contagem selecionado na aba Resumo.
"N/A": Utilizar para apontar que o item foi analisado, mas sem impacto no resultado da contagem.
"INM": Utilizar para identificar o item não mensurável por PF, ao escolher esse item na lista, a coluna C deve ser preenchida com um INM de valor fixo, por exemplo MI - Manutenção em interface e a coluna H com o quantitativo de itens.
</t>
        </r>
      </text>
    </comment>
    <comment ref="C2" authorId="0" shapeId="0" xr:uid="{00000000-0006-0000-0100-000003000000}">
      <text>
        <r>
          <rPr>
            <sz val="9"/>
            <color indexed="81"/>
            <rFont val="Segoe UI"/>
            <family val="2"/>
          </rPr>
          <t>Selecione o Fator de impacto ou INM.
Lista para seleção dos itens parametrizados na aba "Fatores de Impacto e INMs".
Se preenchido com INM de valor fixo, o tipo da função deve ser INM.
Se preenchido com INM de valor percentual, o tipo da funcionalidade deve ser uma das funções do método de contagem selecionado.</t>
        </r>
      </text>
    </comment>
    <comment ref="D2" authorId="0" shapeId="0" xr:uid="{00000000-0006-0000-0100-000004000000}">
      <text>
        <r>
          <rPr>
            <sz val="9"/>
            <color indexed="81"/>
            <rFont val="Segoe UI"/>
            <family val="2"/>
          </rPr>
          <t xml:space="preserve">
Quantidade de TDs/DERs identificados na função.</t>
        </r>
      </text>
    </comment>
    <comment ref="E2" authorId="0" shapeId="0" xr:uid="{00000000-0006-0000-0100-000005000000}">
      <text>
        <r>
          <rPr>
            <sz val="9"/>
            <color indexed="81"/>
            <rFont val="Segoe UI"/>
            <family val="2"/>
          </rPr>
          <t xml:space="preserve">
Descrição dos campos identificados na função.
Obs: Numerar os campos para facilitar a identificação e validação.</t>
        </r>
      </text>
    </comment>
    <comment ref="F2" authorId="0" shapeId="0" xr:uid="{00000000-0006-0000-0100-000006000000}">
      <text>
        <r>
          <rPr>
            <sz val="9"/>
            <color indexed="81"/>
            <rFont val="Segoe UI"/>
            <family val="2"/>
          </rPr>
          <t xml:space="preserve">
Quantidade de ALRs ou TRs identificados na função.</t>
        </r>
      </text>
    </comment>
    <comment ref="G2" authorId="0" shapeId="0" xr:uid="{00000000-0006-0000-0100-000007000000}">
      <text>
        <r>
          <rPr>
            <sz val="9"/>
            <color indexed="81"/>
            <rFont val="Segoe UI"/>
            <family val="2"/>
          </rPr>
          <t xml:space="preserve">
Descrição dos ALRs ou TRs identificados na função.</t>
        </r>
      </text>
    </comment>
    <comment ref="H2" authorId="0" shapeId="0" xr:uid="{00000000-0006-0000-0100-000008000000}">
      <text>
        <r>
          <rPr>
            <sz val="9"/>
            <color indexed="81"/>
            <rFont val="Segoe UI"/>
            <family val="2"/>
          </rPr>
          <t xml:space="preserve">
Quantidade de INMs identificados.
Deve ser preenchido apenas quando o tipo da função for INM.</t>
        </r>
      </text>
    </comment>
    <comment ref="I2" authorId="0" shapeId="0" xr:uid="{00000000-0006-0000-0100-000009000000}">
      <text>
        <r>
          <rPr>
            <sz val="9"/>
            <color indexed="81"/>
            <rFont val="Segoe UI"/>
            <family val="2"/>
          </rPr>
          <t xml:space="preserve">
Informar aqui a referência/evidência da contagem e qualquer outra informação pertinente.</t>
        </r>
      </text>
    </comment>
    <comment ref="O2" authorId="0" shapeId="0" xr:uid="{D04EA094-974F-4ECD-A1C6-55703A6A66C8}">
      <text>
        <r>
          <rPr>
            <sz val="9"/>
            <color indexed="81"/>
            <rFont val="Segoe UI"/>
            <family val="2"/>
          </rPr>
          <t xml:space="preserve">
Complexidade da funcionalidade identificada.</t>
        </r>
      </text>
    </comment>
    <comment ref="P2" authorId="0" shapeId="0" xr:uid="{E8C7156A-7C6E-4992-A3E3-76BDD913CEED}">
      <text>
        <r>
          <rPr>
            <sz val="9"/>
            <color indexed="81"/>
            <rFont val="Segoe UI"/>
            <family val="2"/>
          </rPr>
          <t xml:space="preserve">Total de pontos brutos e líquido
</t>
        </r>
      </text>
    </comment>
    <comment ref="R2" authorId="0" shapeId="0" xr:uid="{00000000-0006-0000-0100-00000D000000}">
      <text>
        <r>
          <rPr>
            <sz val="9"/>
            <color indexed="81"/>
            <rFont val="Segoe UI"/>
            <family val="2"/>
          </rPr>
          <t xml:space="preserve">
Estas colunas representam o artefato que descreve a função identificada.</t>
        </r>
      </text>
    </comment>
    <comment ref="U2" authorId="0" shapeId="0" xr:uid="{46268BA2-9046-43D9-B30B-E0BFB2B0ABDD}">
      <text>
        <r>
          <rPr>
            <b/>
            <sz val="9"/>
            <color indexed="81"/>
            <rFont val="Segoe UI"/>
            <family val="2"/>
          </rPr>
          <t>Regras de preenchimento:
Acatar o item</t>
        </r>
        <r>
          <rPr>
            <sz val="9"/>
            <color indexed="81"/>
            <rFont val="Segoe UI"/>
            <family val="2"/>
          </rPr>
          <t xml:space="preserve">: Preencher OK e preencher com os parâmetros informados pelo analista contador. O resultado será calculado conforme dados preenchidos pela validação. 
</t>
        </r>
        <r>
          <rPr>
            <b/>
            <sz val="9"/>
            <color indexed="81"/>
            <rFont val="Segoe UI"/>
            <family val="2"/>
          </rPr>
          <t>Rejeição total do item</t>
        </r>
        <r>
          <rPr>
            <sz val="9"/>
            <color indexed="81"/>
            <rFont val="Segoe UI"/>
            <family val="2"/>
          </rPr>
          <t xml:space="preserve">: Preencher NOK e deixar em branco os demais parâmetros. O item não impacta no resultado da contagem.
</t>
        </r>
        <r>
          <rPr>
            <b/>
            <sz val="9"/>
            <color indexed="81"/>
            <rFont val="Segoe UI"/>
            <family val="2"/>
          </rPr>
          <t xml:space="preserve">
Rejeição parcial: </t>
        </r>
        <r>
          <rPr>
            <sz val="9"/>
            <color indexed="81"/>
            <rFont val="Segoe UI"/>
            <family val="2"/>
          </rPr>
          <t xml:space="preserve">Preencher NOK e informar os demais parâmetros. O resultado será calculado conforme os parâmetros preenchidos.
</t>
        </r>
        <r>
          <rPr>
            <b/>
            <u/>
            <sz val="9"/>
            <color indexed="81"/>
            <rFont val="Segoe UI"/>
            <family val="2"/>
          </rPr>
          <t>Sempre preencher o parecer da validação informando o motivo da rejeição ou aceite do item.</t>
        </r>
      </text>
    </comment>
    <comment ref="V2" authorId="0" shapeId="0" xr:uid="{00000000-0006-0000-0100-00000F000000}">
      <text>
        <r>
          <rPr>
            <sz val="9"/>
            <color indexed="81"/>
            <rFont val="Segoe UI"/>
            <family val="2"/>
          </rPr>
          <t xml:space="preserve">
Tipo da função identificada ou indicador de INM.</t>
        </r>
      </text>
    </comment>
    <comment ref="W2" authorId="0" shapeId="0" xr:uid="{2C173B80-6775-42DA-923F-C05E3EC02415}">
      <text>
        <r>
          <rPr>
            <sz val="9"/>
            <color indexed="81"/>
            <rFont val="Segoe UI"/>
            <family val="2"/>
          </rPr>
          <t>Selecione o Fator de impacto ou INM.
Lista para seleção dos itens parametrizados na aba "Fatores de Impacto e INMs".
Se preenchido com INM de valor fixo, o tipo da função deve ser INM.
Se preenchido com INM de valor percentual, o tipo da funcionalidade deve ser uma das funções do método de contagem selecionado.</t>
        </r>
      </text>
    </comment>
    <comment ref="X2" authorId="0" shapeId="0" xr:uid="{00000000-0006-0000-0100-000011000000}">
      <text>
        <r>
          <rPr>
            <sz val="9"/>
            <color indexed="81"/>
            <rFont val="Segoe UI"/>
            <family val="2"/>
          </rPr>
          <t xml:space="preserve">
Quantidade de TDs/DERs identificados na função.</t>
        </r>
      </text>
    </comment>
    <comment ref="Y2" authorId="0" shapeId="0" xr:uid="{00000000-0006-0000-0100-000012000000}">
      <text>
        <r>
          <rPr>
            <sz val="9"/>
            <color indexed="81"/>
            <rFont val="Segoe UI"/>
            <family val="2"/>
          </rPr>
          <t xml:space="preserve">
Descrição dos campos identificados na função.
Obs: Numerar os campos para facilitar a identificação e validação.</t>
        </r>
      </text>
    </comment>
    <comment ref="Z2" authorId="0" shapeId="0" xr:uid="{00000000-0006-0000-0100-000013000000}">
      <text>
        <r>
          <rPr>
            <sz val="9"/>
            <color indexed="81"/>
            <rFont val="Segoe UI"/>
            <family val="2"/>
          </rPr>
          <t xml:space="preserve">
Quantidade de ALRs ou TRs identificados na função.</t>
        </r>
      </text>
    </comment>
    <comment ref="AA2" authorId="0" shapeId="0" xr:uid="{00000000-0006-0000-0100-000014000000}">
      <text>
        <r>
          <rPr>
            <sz val="9"/>
            <color indexed="81"/>
            <rFont val="Segoe UI"/>
            <family val="2"/>
          </rPr>
          <t xml:space="preserve">
Descrição dos ALRs ou TRs identificados na função.</t>
        </r>
      </text>
    </comment>
    <comment ref="AB2" authorId="0" shapeId="0" xr:uid="{00000000-0006-0000-0100-000015000000}">
      <text>
        <r>
          <rPr>
            <sz val="9"/>
            <color indexed="81"/>
            <rFont val="Segoe UI"/>
            <family val="2"/>
          </rPr>
          <t xml:space="preserve">
Quantidade de INMs identificados.
Deve ser preenchido apenas quando o tipo da função for INM.</t>
        </r>
      </text>
    </comment>
    <comment ref="AI2" authorId="1" shapeId="0" xr:uid="{218ACDC6-EE87-4068-903F-A108E818AB62}">
      <text>
        <r>
          <rPr>
            <b/>
            <sz val="9"/>
            <color indexed="81"/>
            <rFont val="Segoe UI"/>
            <family val="2"/>
          </rPr>
          <t xml:space="preserve">Total de pontos brutos e líquido
</t>
        </r>
      </text>
    </comment>
    <comment ref="P3" authorId="1" shapeId="0" xr:uid="{6FDDCA03-1D96-45A6-BC85-61C1C896D2D3}">
      <text>
        <r>
          <rPr>
            <b/>
            <sz val="9"/>
            <color indexed="81"/>
            <rFont val="Segoe UI"/>
            <family val="2"/>
          </rPr>
          <t>Somatório de pontos de função Brutos</t>
        </r>
        <r>
          <rPr>
            <sz val="9"/>
            <color indexed="81"/>
            <rFont val="Segoe UI"/>
            <family val="2"/>
          </rPr>
          <t xml:space="preserve">
</t>
        </r>
      </text>
    </comment>
    <comment ref="Q3" authorId="1" shapeId="0" xr:uid="{154DB757-A6F0-4577-9075-123A080D0BDE}">
      <text>
        <r>
          <rPr>
            <b/>
            <sz val="9"/>
            <color indexed="81"/>
            <rFont val="Segoe UI"/>
            <family val="2"/>
          </rPr>
          <t>Somatório de Pontos de Função líquidos</t>
        </r>
        <r>
          <rPr>
            <sz val="9"/>
            <color indexed="81"/>
            <rFont val="Segoe UI"/>
            <family val="2"/>
          </rPr>
          <t xml:space="preserve">
</t>
        </r>
      </text>
    </comment>
    <comment ref="R3" authorId="0" shapeId="0" xr:uid="{00000000-0006-0000-0100-000016000000}">
      <text>
        <r>
          <rPr>
            <sz val="9"/>
            <color indexed="81"/>
            <rFont val="Segoe UI"/>
            <family val="2"/>
          </rPr>
          <t xml:space="preserve">
Número sequencial para identificar os artefatos analisados, utilizado como referência para calcular o valor gerado por cada artefato e apresentar na aba Pontos por Requisito</t>
        </r>
      </text>
    </comment>
    <comment ref="S3" authorId="0" shapeId="0" xr:uid="{00000000-0006-0000-0100-000017000000}">
      <text>
        <r>
          <rPr>
            <sz val="9"/>
            <color indexed="81"/>
            <rFont val="Segoe UI"/>
            <family val="2"/>
          </rPr>
          <t xml:space="preserve">
Nome do artefato analisado.</t>
        </r>
      </text>
    </comment>
    <comment ref="AI3" authorId="1" shapeId="0" xr:uid="{AF12D06F-EC1D-4694-B9C9-35841DAF85FB}">
      <text>
        <r>
          <rPr>
            <b/>
            <sz val="9"/>
            <color indexed="81"/>
            <rFont val="Segoe UI"/>
            <family val="2"/>
          </rPr>
          <t xml:space="preserve">Somatório de pontos de função Brutos
</t>
        </r>
      </text>
    </comment>
    <comment ref="AJ3" authorId="1" shapeId="0" xr:uid="{FCD56C25-9866-4FB1-B28C-7DAEAD0C3F61}">
      <text>
        <r>
          <rPr>
            <b/>
            <sz val="9"/>
            <color indexed="81"/>
            <rFont val="Segoe UI"/>
            <family val="2"/>
          </rPr>
          <t xml:space="preserve">Somatório de Pontos de Função líquidos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Qintess</author>
    <author>Rodrigo Rodrigues</author>
  </authors>
  <commentList>
    <comment ref="E2" authorId="0" shapeId="0" xr:uid="{00000000-0006-0000-0400-000001000000}">
      <text>
        <r>
          <rPr>
            <b/>
            <sz val="9"/>
            <color indexed="81"/>
            <rFont val="Segoe UI"/>
            <family val="2"/>
          </rPr>
          <t xml:space="preserve">
VF - </t>
        </r>
        <r>
          <rPr>
            <sz val="9"/>
            <color indexed="81"/>
            <rFont val="Segoe UI"/>
            <family val="2"/>
          </rPr>
          <t>Valor Fixo</t>
        </r>
        <r>
          <rPr>
            <b/>
            <sz val="9"/>
            <color indexed="81"/>
            <rFont val="Segoe UI"/>
            <family val="2"/>
          </rPr>
          <t xml:space="preserve">
VP - </t>
        </r>
        <r>
          <rPr>
            <sz val="9"/>
            <color indexed="81"/>
            <rFont val="Segoe UI"/>
            <family val="2"/>
          </rPr>
          <t xml:space="preserve">Valor Percentual
</t>
        </r>
      </text>
    </comment>
    <comment ref="B32" authorId="1" shapeId="0" xr:uid="{AACEFE38-230F-4076-A0CF-CB98F8080184}">
      <text>
        <r>
          <rPr>
            <b/>
            <sz val="9"/>
            <color indexed="81"/>
            <rFont val="Segoe UI"/>
            <family val="2"/>
          </rPr>
          <t>Rodrigo Rodrigues:</t>
        </r>
        <r>
          <rPr>
            <sz val="9"/>
            <color indexed="81"/>
            <rFont val="Segoe UI"/>
            <family val="2"/>
          </rPr>
          <t xml:space="preserve">
7.5.1.4. O pagamento do serviço de Solicitação de Informação será remunerado por 1 Ponto de Função com a métrica do ponto de função aplicado a sustentação.</t>
        </r>
      </text>
    </comment>
  </commentList>
</comments>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keepAlive="1" name="Consulta - Tabela1" description="Conexão com a consulta 'Tabela1' na pasta de trabalho." type="5" refreshedVersion="0" background="1">
    <dbPr connection="Provider=Microsoft.Mashup.OleDb.1;Data Source=$Workbook$;Location=Tabela1;Extended Properties=&quot;&quot;" command="SELECT * FROM [Tabela1]"/>
  </connection>
</connections>
</file>

<file path=xl/sharedStrings.xml><?xml version="1.0" encoding="utf-8"?>
<sst xmlns="http://schemas.openxmlformats.org/spreadsheetml/2006/main" count="1696" uniqueCount="339">
  <si>
    <t>Tipo de Comparação</t>
  </si>
  <si>
    <t>Quantidade de Itens</t>
  </si>
  <si>
    <t>Percentual de Aceitação</t>
  </si>
  <si>
    <t>Quantidade de Itens NAP</t>
  </si>
  <si>
    <t>Quantidade de Itens AP</t>
  </si>
  <si>
    <t>Comparação das Contagens</t>
  </si>
  <si>
    <t xml:space="preserve">    Tipo</t>
  </si>
  <si>
    <t xml:space="preserve">    % de Divergência</t>
  </si>
  <si>
    <t>Tipo</t>
  </si>
  <si>
    <t>QTDE
TD</t>
  </si>
  <si>
    <t>DESCRIÇÃO TD</t>
  </si>
  <si>
    <t>QTDE
AR/TR</t>
  </si>
  <si>
    <t>DESCRIÇÃO AR/TR</t>
  </si>
  <si>
    <t>QTD
INM</t>
  </si>
  <si>
    <t>OBSERVAÇÃO</t>
  </si>
  <si>
    <t>ctl</t>
  </si>
  <si>
    <t>CTL2</t>
  </si>
  <si>
    <t>C</t>
  </si>
  <si>
    <t>DF</t>
  </si>
  <si>
    <t>TP</t>
  </si>
  <si>
    <t>Documentação (Evidência de Contagem)</t>
  </si>
  <si>
    <t xml:space="preserve"> </t>
  </si>
  <si>
    <t>Descrição</t>
  </si>
  <si>
    <t>Código</t>
  </si>
  <si>
    <t>Valor</t>
  </si>
  <si>
    <t>Referência</t>
  </si>
  <si>
    <t>I</t>
  </si>
  <si>
    <t>VP</t>
  </si>
  <si>
    <t>De acordo com a classificação da funcionalidade</t>
  </si>
  <si>
    <t>VF</t>
  </si>
  <si>
    <t>E</t>
  </si>
  <si>
    <t>INM</t>
  </si>
  <si>
    <t>PF_FUNCIONALIDADE x 0,20</t>
  </si>
  <si>
    <t>PF_FUNCIONALIDADE x 0,50</t>
  </si>
  <si>
    <t>PF_FUNCIONALIDADE x 1,00</t>
  </si>
  <si>
    <t>PF_FUNCIONALIDADE x 0,25</t>
  </si>
  <si>
    <t>PF_FUNCIONALIDADE x 0,30</t>
  </si>
  <si>
    <t>AV</t>
  </si>
  <si>
    <t>PF_FUNCIONALIDADE x 0,10</t>
  </si>
  <si>
    <t>Validação da Contagem</t>
  </si>
  <si>
    <t>Sistema</t>
  </si>
  <si>
    <t>Demanda</t>
  </si>
  <si>
    <t>Método de Contagem</t>
  </si>
  <si>
    <t xml:space="preserve">Responsável pela Validação </t>
  </si>
  <si>
    <t>Data Validação</t>
  </si>
  <si>
    <t>Nº</t>
  </si>
  <si>
    <t>ID</t>
  </si>
  <si>
    <t>Parecer Validação</t>
  </si>
  <si>
    <t>Resposta Fábrica de software</t>
  </si>
  <si>
    <t>Parecer Validação - réplica</t>
  </si>
  <si>
    <t>Resposta Fábrica de software - Réplica</t>
  </si>
  <si>
    <t xml:space="preserve">Total: </t>
  </si>
  <si>
    <t>Data da Contagem</t>
  </si>
  <si>
    <t>Lista de Deflatores e Itens não mensuráveis pela técnica de APF</t>
  </si>
  <si>
    <t>Unidade de medida</t>
  </si>
  <si>
    <t>Regra de cálculo</t>
  </si>
  <si>
    <t>A50</t>
  </si>
  <si>
    <t>A75</t>
  </si>
  <si>
    <t>A90</t>
  </si>
  <si>
    <t>PF_FUNCIONALIDADE x 0,5</t>
  </si>
  <si>
    <t>PF_FUNCIONALIDADE x 0,75</t>
  </si>
  <si>
    <t>PF_FUNCIONALIDADE x 0,90</t>
  </si>
  <si>
    <t>PF_ALTERADO: pontos de função associados às funcionalidades existentes na
aplicação que serão alteradas no projeto de manutenção.
50% para funcionalidade de sistema desenvolvida ou mantida por meio de um projeto de melhoria pela empresa contratada.</t>
  </si>
  <si>
    <t>MC50</t>
  </si>
  <si>
    <t>MC75</t>
  </si>
  <si>
    <t>Correção de erros (bugs) em funcionalidades de sistemas em produção.
50% quando estiver fora da garantia e a correção for feita pela mesma empresa que desenvolveu a funcionalidade.</t>
  </si>
  <si>
    <t>Correção de erros (bugs) em funcionalidades de sistemas em produção.
75% quando estiver fora da garantia e a correção for feita por empresa diferente daquela que desenvolveu a funcionalidade.</t>
  </si>
  <si>
    <t>MP-L</t>
  </si>
  <si>
    <t xml:space="preserve">Demandas de redesenvolvimento de sistemas em outra linguagem de programação. Como os projetos legados, frequentemente, não possuem
documentação, devem ser considerados como novos projetos de desenvolvimento. </t>
  </si>
  <si>
    <t>MP-BD 30</t>
  </si>
  <si>
    <t>Demandas de atualização de versão de linguagem de programação de sistemas.
Demandas atualização de aplicações Web para executar em novas versões de um mesmo browser e para suportar a execução em mais de um browser.
Demandas de atualização de versão do sistema gerenciador de banco de dados.</t>
  </si>
  <si>
    <t>MI</t>
  </si>
  <si>
    <t>manutenção em interface, denominada na literatura de manutenção cosmética, é associada às demandas de alterações de interface, por exemplo: fonte de letra, cores de telas, logotipos, mudança de botões na tela, mudança de posição de campos ou texto na tela</t>
  </si>
  <si>
    <t>0,6 x QTD_FUNCIONALIDADES</t>
  </si>
  <si>
    <t>AF-RNF 50</t>
  </si>
  <si>
    <t>AF-RNF 75</t>
  </si>
  <si>
    <t>Demandas de manutenção adaptativa associadas a solicitações que envolvem aspectos não funcionais, sem alteração em requisitos funcionais.
• FI = 75% para funcionalidade de sistema não desenvolvida ou mantida por meio de um projeto de melhoria pela empresa contratada.</t>
  </si>
  <si>
    <t>Demandas de manutenção adaptativa associadas a solicitações que envolvem aspectos não funcionais, sem alteração em requisitos funcionais.
• FI = 50% para funcionalidade de sistema desenvolvida ou mantida por meio de um projeto de melhoria pela empresa contratada.</t>
  </si>
  <si>
    <t>AE-a</t>
  </si>
  <si>
    <t>Este tipo de apuração especial é um projeto que inclui a geração de procedimentos para atualização da base de dados.
b) Consulta Prévia sem Atualização</t>
  </si>
  <si>
    <t>Este tipo de apuração especial é um projeto que inclui a geração de procedimentos para atualização da base de dados.
a) Atualização de Dados sem Consulta Prévia</t>
  </si>
  <si>
    <t>AE-b</t>
  </si>
  <si>
    <t>Este tipo de apuração especial é um projeto que inclui a geração de procedimentos para atualização da base de dados.
c) Atualização de Dados com Consulta Prévia</t>
  </si>
  <si>
    <t>AE-c</t>
  </si>
  <si>
    <t>PF_FUNCIONALIDADE x 0,60</t>
  </si>
  <si>
    <t>AE-REL</t>
  </si>
  <si>
    <t>Este tipo de apuração especial é um projeto que inclui a geração de relatórios em uma ou mais mídias para o usuário.</t>
  </si>
  <si>
    <t>AE-R</t>
  </si>
  <si>
    <t>Ddemandas de correção de problemas em base de dados estão associadas a atualizações manuais (de forma interativa), diretamente no banco de dados em um único registro, e que não envolvem cálculos ou procedimentos complexos.</t>
  </si>
  <si>
    <t>AD</t>
  </si>
  <si>
    <t>Doc</t>
  </si>
  <si>
    <t>VE 20</t>
  </si>
  <si>
    <t>VE 15</t>
  </si>
  <si>
    <t>PF_FUNCIONALIDADE x 0,15</t>
  </si>
  <si>
    <t>PFT</t>
  </si>
  <si>
    <t>COMP</t>
  </si>
  <si>
    <t>Em alguns casos são demandadas manutenções em componentes, que implementam regras de negócio, específicos de uma aplicação e estes são reusados por várias funcionalidades da aplicação.</t>
  </si>
  <si>
    <t>Comparação PF Liquído</t>
  </si>
  <si>
    <t>Contratada</t>
  </si>
  <si>
    <t>ALI - Arquivo Lógico Interno</t>
  </si>
  <si>
    <t>Funções de Dados:</t>
  </si>
  <si>
    <t>Total PF</t>
  </si>
  <si>
    <t>AIE - Arquivo de Interface Externa</t>
  </si>
  <si>
    <t>Quantidade por Tipo de Complexidade</t>
  </si>
  <si>
    <t>Baixa</t>
  </si>
  <si>
    <t>Média</t>
  </si>
  <si>
    <t>Alta</t>
  </si>
  <si>
    <t>Qtde</t>
  </si>
  <si>
    <t>PF</t>
  </si>
  <si>
    <t>Funções de Transacionais:</t>
  </si>
  <si>
    <t>EE - Entrada Externa</t>
  </si>
  <si>
    <t>CE - Consulta Externa</t>
  </si>
  <si>
    <t>SE - Saída Externa</t>
  </si>
  <si>
    <t>Total de Pontos de Função</t>
  </si>
  <si>
    <t>Total Funções de Dados</t>
  </si>
  <si>
    <t>Total Funções de Transação</t>
  </si>
  <si>
    <t>TOTAL INMs</t>
  </si>
  <si>
    <t>Versão 2.0
Ampliação da regra das cores de validação para a coluna AQ.</t>
  </si>
  <si>
    <t>Versão 2.1.
Aplicar regra de preenchimento automático do propósito da contagem e sistema</t>
  </si>
  <si>
    <t>Versão 2.2
Ajuste das colunas de validação da contagem - CP, PFB e PFL para efetuar o cálculo e apresentar o resultado mesmo que a coluna Validação esteja preenchida com Não Ok e validando se DERs e ALRs estão preenchidos.</t>
  </si>
  <si>
    <t>Versão 2.3
Corrigida validação feita na versão 2.2, pois foi feita apenas na primeira linha. Agora foi replicada para as demais.</t>
  </si>
  <si>
    <t>EE</t>
  </si>
  <si>
    <t>CE</t>
  </si>
  <si>
    <t>SE</t>
  </si>
  <si>
    <t>ALI</t>
  </si>
  <si>
    <t>AIE</t>
  </si>
  <si>
    <t>PE</t>
  </si>
  <si>
    <t>AL</t>
  </si>
  <si>
    <t>Detalhada</t>
  </si>
  <si>
    <t>Estimada</t>
  </si>
  <si>
    <t>PFSimplificado</t>
  </si>
  <si>
    <t>Indicativa</t>
  </si>
  <si>
    <t>TipoDeContagem</t>
  </si>
  <si>
    <t>TipoDeFunção</t>
  </si>
  <si>
    <t>MétodoContagem</t>
  </si>
  <si>
    <t>CPM 4.3.1</t>
  </si>
  <si>
    <t>NESMA</t>
  </si>
  <si>
    <t>Versão 2.4
Inclusão dos métodos de contagem Indicativa e PF Simplificado</t>
  </si>
  <si>
    <t>Planilha de contagem</t>
  </si>
  <si>
    <t>Descrição da Ordem de Serviço</t>
  </si>
  <si>
    <t>Observações Gerais</t>
  </si>
  <si>
    <t>Escopo da Contagem</t>
  </si>
  <si>
    <t>Fronteira</t>
  </si>
  <si>
    <t>Dados da OS</t>
  </si>
  <si>
    <t>Analista de Métricas</t>
  </si>
  <si>
    <t>Selecione o tipo da contagem</t>
  </si>
  <si>
    <t>Guia de Métricas:</t>
  </si>
  <si>
    <t>SPM v.2.1</t>
  </si>
  <si>
    <t>N/A</t>
  </si>
  <si>
    <t>Rodrigo Rodrigues, CFPS, ID: 31390</t>
  </si>
  <si>
    <t>Total</t>
  </si>
  <si>
    <t>Complex.</t>
  </si>
  <si>
    <t>Pontos por Requisito</t>
  </si>
  <si>
    <t>Pontos de Função Detalhados por Requisito</t>
  </si>
  <si>
    <t>Pontos de Função Estimados por Requisito</t>
  </si>
  <si>
    <t>Pontos de Função Simplificados por Requisitos</t>
  </si>
  <si>
    <t>Pontos de Função Indicados por Requisito</t>
  </si>
  <si>
    <t>Totais</t>
  </si>
  <si>
    <t>FI / INM</t>
  </si>
  <si>
    <t>TOTAL</t>
  </si>
  <si>
    <t>Cabeçalho Pontos Por Requisito</t>
  </si>
  <si>
    <t>Nome da função</t>
  </si>
  <si>
    <t>Contagem</t>
  </si>
  <si>
    <t>Versão 2025-2.5 - Refinamento
- Inclusão dos totalizadores de Pontos de Função no cabeçalho da planilha  
- Apresentar título da aba Pontos por Requisito conforme o método de contagem
- Inclusão de regra para validar INMs:
  Se o tipo for INM, o FI tem que ser um INM de valor fixo, caso preenchido um INM percentual, valores de PF em branco.
  Se FI = valor fixo, Tipo tem que ser "INM", sendo FI valor fixo e tipo diferente de INM, PFs em branco.
- Permitir apenas valores numéricos na coluna QTD INM, inclusão de mensagem de alerta descrevendo o comportamento da célula
- Parametrização da seção de validação da contagem conforme método de contagem selecionado</t>
  </si>
  <si>
    <t>Versão 07/2025-2.6
- Revisão dos fatores de impacto e suas referências - Aba "Fatores de Impacto e INMs"</t>
  </si>
  <si>
    <t>PF_INCLUÍDO: pontos de função associados às novas funcionalidades que farão parte da aplicação após um projeto de desenvolvimento ou de manutenção.</t>
  </si>
  <si>
    <t>SISP 2.3
4.1 Projeto de Desenvolvimento</t>
  </si>
  <si>
    <t>SISP 2.3
4.2 Projeto de Melhoria</t>
  </si>
  <si>
    <t>PF_ALTERADO: pontos de função associados às funcionalidades existentes na
aplicação que serão alteradas no projeto de manutenção.
75% para funcionalidade de sistema não desenvolvida ou mantida por meio de um projeto de melhoria pela empresa contratada e sem necessidade de
redocumentação da funcionalidade.</t>
  </si>
  <si>
    <t>PF_ALTERADO: pontos de função associados às funcionalidades existentes na
aplicação que serão alteradas no projeto de manutenção.
90% para funcionalidade de sistema não desenvolvida ou mantida por meio de um projeto de melhoria pela empresa contratada e com necessidade de redocumentação da funcionalidade</t>
  </si>
  <si>
    <t>PF_EXCLUÍDO: pontos de função associados às funcionalidades existentes na
aplicação que serão excluídas no projeto de manutenção.</t>
  </si>
  <si>
    <t>SISP 2.3
4.4 Manutenção Corretiva</t>
  </si>
  <si>
    <t>MC-R 65</t>
  </si>
  <si>
    <t>Correção de erros (bugs) em funcionalidades de sistemas em produção.
50% quando estiver fora da garantia e a correção for feita pela mesma empresa que desenvolveu a funcionalidade + 15% Fator de redocumentação</t>
  </si>
  <si>
    <t>PF_FUNCIONALIDADE x 0,65</t>
  </si>
  <si>
    <t>MC-R 90</t>
  </si>
  <si>
    <t>Correção de erros (bugs) em funcionalidades de sistemas em produção.
75% quando estiver fora da garantia e a correção for feita por empresa diferente daquela que desenvolveu a funcionalidade + 15% Fator de redocumentação</t>
  </si>
  <si>
    <t>SISP 2.3
4.5.1 Mudança de Plataforma - Linguagem de Programação</t>
  </si>
  <si>
    <t>MP-BD</t>
  </si>
  <si>
    <t>Demandas de redesenvolvimento de sistemas para utilizar um outro sistema gerenciador de banco de dados.</t>
  </si>
  <si>
    <t>SISP 2.3
4.5.2 Mudança de Plataforma - Banco de Dados</t>
  </si>
  <si>
    <t>Demanda de redesenvolvimento de um sistema gerenciador de banco de dados relacional para outro relacional</t>
  </si>
  <si>
    <t>SISP 2.3
4.6.1 A 4.6.3</t>
  </si>
  <si>
    <t>SISP 2.3
4.7 Manutenção em Interface</t>
  </si>
  <si>
    <t>SISP 2.3
4.8 Adaptação em Funcionalidades sem Alteração de Requisitos
Funcionais</t>
  </si>
  <si>
    <t>SISP 2.3
4.9.1 Apuração Especial – Base de Dados</t>
  </si>
  <si>
    <t>SISP 2.3
4.9.2 Apuração Especial – Geração de Relatórios</t>
  </si>
  <si>
    <t>Em alguns casos, a empresa contratante pode ter interesse em executar uma
apuração especial mais de uma vez. Nestes casos, ela deve solicitar formalmente à contratada o armazenamento do script executado.</t>
  </si>
  <si>
    <t>SISP 2.3
4.9.3 Apuração Especial – Reexecução</t>
  </si>
  <si>
    <t>SISP 2.3
4.10 Atualização de Dados</t>
  </si>
  <si>
    <t>Pág</t>
  </si>
  <si>
    <t>Nesta seção são tratados desenvolvimentos e manutenções específicas em
páginas estáticas de portais, intranets ou websites. As demandas desta seção abrangem a publicação de páginas Web com conteúdo estático.</t>
  </si>
  <si>
    <t>SISP 2.3
4.11 Desenvolvimento, Manutenção e Publicação de Páginas
Estáticas de Intranet, Internet ou Portal</t>
  </si>
  <si>
    <t>Nesta seção são tratadas demandas de documentação ou atualização de
documentação de sistemas legados. Observe que o desenvolvedor deve realizar uma engenharia reversa da aplicação para gerar a documentação.</t>
  </si>
  <si>
    <t>SISP 2.3
4.12 Manutenção de Documentação de Sistemas Legados</t>
  </si>
  <si>
    <t>As verificações de erro ou análise e solução de problemas são as demandas
referentes a todo comportamento anormal ou indevido apontado pelo cliente nos sistemas aplicativos. Neste caso, a equipe de desenvolvimento da contratada se mobilizará para encontrar as causas do problema ocorrido.
- Sem documentação de teste existente 
PF_VERIFICAÇÃO = PF_Funcionalidade_Reportada_Com_Erro x 0,20</t>
  </si>
  <si>
    <t>SISP 2.3
4.13 Verificação de Erros</t>
  </si>
  <si>
    <t>As verificações de erro ou análise e solução de problemas são as demandas
referentes a todo comportamento anormal ou indevido apontado pelo cliente nos sistemas aplicativos. Neste caso, a equipe de desenvolvimento da contratada se mobilizará para encontrar as causas do problema ocorrido.
- Com documentação de teste existente
PF_VERIFICAÇÃO = PF_Funcionalidade_Reportada_Com_Erro x 0,15</t>
  </si>
  <si>
    <t>A contagem de PFT será o somatório dos tamanhos em pontos de função das
funções transacionais envolvidas no teste:</t>
  </si>
  <si>
    <t>SISP 2.3
4.14 Pontos de Função de Teste</t>
  </si>
  <si>
    <t>SISP 2.3 - 4.15 Componente Interno Reusável</t>
  </si>
  <si>
    <t>PF_COMPONENTE = FI x PF_ALTERADO</t>
  </si>
  <si>
    <t>COMP-ARQ</t>
  </si>
  <si>
    <t>Casos onde são realizadas manutenções de valores de elementos internos de configuração que afetam o comportamento ou a apresentação do sistema de forma geral, tais como páginas de estilos (arquivos CSS de sistemas Web), arquivos com mensagens de erro, arquivos de configuração de sistema e arquivos de internacionalização.</t>
  </si>
  <si>
    <t>0,6 PF x QTD_ARQUIVOS_ALTERADOS</t>
  </si>
  <si>
    <t>Sol. Info</t>
  </si>
  <si>
    <t>Classifi cadas pelo usuário que efetuou sua abertura, consiste no fornecimento de informações de quaisquer ti possolicitadas pelo mesmo, além de solução de dúvidas operacionais</t>
  </si>
  <si>
    <t>Termo de Referência
2.2.2. Tipos de Serviço
a) Solicitação de Informação</t>
  </si>
  <si>
    <t>1 PF x solicitação</t>
  </si>
  <si>
    <t>Versão 2.7 - 09/2025
Parametrização dos INMs e Fatores de impacto conforme TR da SUFRAMA.</t>
  </si>
  <si>
    <t>Versão 2.8 - 09/2025
Parametrização dos INMs e Fatores de impacto conforme contrato da ALESC.</t>
  </si>
  <si>
    <t>Versão 2.8 - 09/2025</t>
  </si>
  <si>
    <t>SIGRH - Sistema Integrado de Gestão de Recursos Humanos</t>
  </si>
  <si>
    <t>Indra Company</t>
  </si>
  <si>
    <t>OK</t>
  </si>
  <si>
    <t>3600-2026</t>
  </si>
  <si>
    <t>SIGRH - Cálculo de Horas RCM 3600-2026 (1).xls
SIGRH - RCM - Relatório de Controle de Mudança - CAD - 3600-2026 (1).docx</t>
  </si>
  <si>
    <t>Thiago Zimmer Branco da Silva / Josseli dos Reis</t>
  </si>
  <si>
    <t>Manter Órgão</t>
  </si>
  <si>
    <t xml:space="preserve">Incluir Órgão </t>
  </si>
  <si>
    <t>Agrupamento de órgãos
Data inicial da vigência
Data final da vigência
Sigla
Nome
CNPJ
E-mail
Site
Percentual de vagas reservadas para o sexo feminino em processo seletivo
Inscrição estadual
Inscrição municipal
Tipo do órgão
Indicador de SDR
Região do órgão
Unidade organizacional de recursos humanos
Órgão da fonte pagadora
CNPJ da fonte pagadora
Órgão inerente ao Instituto de Previdência Social
Tipo de atribuição de matrícula
Ativo
Inativo
Bolsista</t>
  </si>
  <si>
    <t xml:space="preserve">Orgao
Agrupamento
</t>
  </si>
  <si>
    <t xml:space="preserve">Alterar Órgão </t>
  </si>
  <si>
    <t>Agrupamento de órgãos
Sigla do órgão
Nome do órgão
Data inicial da vigência
Data final da vigência
Sigla
Nome
CNPJ
E-mail
Site
Matrícula do responsável pelo CNPJ
Percentual de vagas reservadas para o sexo feminino em processo seletivo
Inscrição estadual
Inscrição municipal
Tipo do órgão
Indicador de SDR
Região do órgão
Unidade organizacional de recursos humanos
Órgão da fonte pagadora
CNPJ da fonte pagadora
Órgão inerente ao Instituto de Previdência Social
Tipo de atribuição de matrícula
Ativo
Inativo
Bolsista</t>
  </si>
  <si>
    <t>Manter Unidade Organizacional</t>
  </si>
  <si>
    <t xml:space="preserve">Incluir Unidade Organizacional </t>
  </si>
  <si>
    <t>Órgão
Data inicial da vigência
Data final da vigência
Unidade organizacional modelo
Sigla
Nome
Unidade organizacional superior hierarquicamente
E-mail
Lei de amparo à criação da unidade organizacional
Tipo
Sub-tipo
CNPJ
Órgão/Unidade organizacional superior administrativamente
Órgão/Unidade organizacional superior tecnicamente
Órgão/Unidade organizacional superior de recursos humanos
Órgão/Unidade organizacional superior para controle de escala
Número do centro de custo
Unidade gestora de pensão
Unidade como Filial
Unidade organizacional municipalizada
Número do convênio da municipalização
Código da unidade organizacional no sistema Sei</t>
  </si>
  <si>
    <t>Orgao
Unidade Organizacional</t>
  </si>
  <si>
    <t xml:space="preserve">Alterar Unidade Organizacional </t>
  </si>
  <si>
    <t>Manter Orgaos Externos</t>
  </si>
  <si>
    <t xml:space="preserve">Incluir Orgaos Externos </t>
  </si>
  <si>
    <t>Ente
UF
Município
CNPJ do órgão externo
Nome do órgão externo
Prestador de serviço de plano de saúde
Código do órgão externo
Data inicial do convênio
Data final do convênio
Órgão/Empresa responsável pela perícia médica
Número do convênio
Ano
Ação
Mensagem</t>
  </si>
  <si>
    <t>Orgao Externo
Localidade</t>
  </si>
  <si>
    <t xml:space="preserve">Alterar Orgaos Externos </t>
  </si>
  <si>
    <t>Manter Prestadores de Servico</t>
  </si>
  <si>
    <t xml:space="preserve">Listar Prestadores de Servico </t>
  </si>
  <si>
    <t>Nome do prestador de serviço
CPNJ
Ação
Mensagem</t>
  </si>
  <si>
    <t>Prestadores de servico</t>
  </si>
  <si>
    <t xml:space="preserve">Incluir Prestadores de Servico </t>
  </si>
  <si>
    <t xml:space="preserve">Alterar Prestadores de Servico </t>
  </si>
  <si>
    <t>Manter Contratos</t>
  </si>
  <si>
    <t>Detalhar prestador de Serviço</t>
  </si>
  <si>
    <t>Código prestador de serviço
Nome do prestador de serviço  
CNPJ do prestador de serviço  
Endereço
CEP  
Tipo de logradouro  
Logradouro  
Número  
Complemento  
Estado  
Município  
Bairro  
Telefone  
Fax  
Ação
Mensagem</t>
  </si>
  <si>
    <t>Prestadores de servico
Localidade</t>
  </si>
  <si>
    <t>Manter Convenios</t>
  </si>
  <si>
    <t>Pesquisa auxiliar Instituição de ensino</t>
  </si>
  <si>
    <t>Instituição de ensino
Município
Dependência administrativa
CNPJ
Ação
Mensagem</t>
  </si>
  <si>
    <t>Instituição de ensino
Localidade</t>
  </si>
  <si>
    <t>Manter Concessão do Auxílio Creche</t>
  </si>
  <si>
    <t xml:space="preserve">Incluir Concessão do Auxílio Creche </t>
  </si>
  <si>
    <t>Matrícula
Dependente
Data início da vigência
Valor Auxílio Creche
Número do contrato com a creche
CNPJ da creche
CPF
Número PIS/PASEP
NIT - Número de inscrição do trabalhador
Carteira de trabalho
Número
Série
Unidade federativa
Data de emissão
Ação
Mensagem</t>
  </si>
  <si>
    <t>Auxilio creche
Vinculo
Dependente</t>
  </si>
  <si>
    <t xml:space="preserve">Alterar Concessão do Auxílio Creche </t>
  </si>
  <si>
    <t>Instituições de Ensino</t>
  </si>
  <si>
    <t xml:space="preserve">Listar Instituições de Ensino </t>
  </si>
  <si>
    <t>CPNJ
Instituição de ensino
Dependência administrativa
Vigência
Data limite de vigência
Município
UF
Código SERIE
Ação
Mensagem</t>
  </si>
  <si>
    <t xml:space="preserve">Incluir Instituições de Ensino </t>
  </si>
  <si>
    <t>CNPJ
Instituição de ensino
Dependência administrativa
Data limite de vigência
E-mail institucional
Código de Instituição de Ensino no sistema SERIE
Ação
Mensagem</t>
  </si>
  <si>
    <t xml:space="preserve">Instituição de ensino
</t>
  </si>
  <si>
    <t xml:space="preserve">Alterar Instituições de Ensino </t>
  </si>
  <si>
    <t>Manter Dados de Empenho da Rubrica</t>
  </si>
  <si>
    <t xml:space="preserve">Alterar Dados de Empenho da Rubrica </t>
  </si>
  <si>
    <t>Rubrica do sistema
Código da unidade orçamentária
Código da subação específica
Código da fonte de recursos específica
CNPJ do outro credor
Elementos de despesa
Ativo - Reg. Próprio
Ativo - Reg. Geral
Inativo
Ativo 139 - Reg. Próprio
Ativo 139 - Reg. Geral
Inativo 139
Consignatária
Outro código de consignatária
Consignação é extra-orçamentária
Replicar dados de empenho para as rubricas de diferenças e devoluções inerentes
Ação
Mensagem</t>
  </si>
  <si>
    <t>Rubrica
Orgao</t>
  </si>
  <si>
    <t>Manter Convênios para Créditos Bancários</t>
  </si>
  <si>
    <t xml:space="preserve">Incluir Convênios para Créditos Bancários </t>
  </si>
  <si>
    <t>Agrupamento
Número do convênio
Banco
Órgão
Nome oficial do Órgão junto ao banco
Tipo do convênio
CNPJ do Órgão junto ao convênio
Agência centralizadora
Conta corrente centralizadora
Ação
Mensagem</t>
  </si>
  <si>
    <t>Agrupamento
Convenio bancario
Banco
Orgao</t>
  </si>
  <si>
    <t xml:space="preserve">Alterar Convênios para Créditos Bancários </t>
  </si>
  <si>
    <t>Manter Consignatárias</t>
  </si>
  <si>
    <t xml:space="preserve">Listar Consignatárias </t>
  </si>
  <si>
    <t>CNPJ da consignatária
Código da consignatária
Nome da consignatária
Sigla da consignatária
Tipo de serviço
Código
CNPJ
Ação
Mensagem</t>
  </si>
  <si>
    <t>Consignatárias</t>
  </si>
  <si>
    <t xml:space="preserve">Incluir Consignatárias </t>
  </si>
  <si>
    <t>CNPJ
Código da consignatária
Nome da consignatária
Sigla da consignatária
Modalidade da consignatária
Endereço de email institucional
Tem permissão para conhecer a margem consignável do servidor
Está impedida de conceder novos empréstimos em decorrência de não cumprimento de prazo de liquidação
Banco
Agência
Número da conta
Ação
Mensagem</t>
  </si>
  <si>
    <t>Consignatárias
Banco
Localidade</t>
  </si>
  <si>
    <t xml:space="preserve">Alterar Consignatárias </t>
  </si>
  <si>
    <t xml:space="preserve">Representação Consignatárias </t>
  </si>
  <si>
    <t>Tipo de representação em Santa Catarina
CNPJ do representante
Nome do representante
Endereço
CEP
Caixa postal
Tipo de logradouro
Logradouro
Número
Complemento
Estado
Município
Bairro
DDD
Telefone
Ramal
DDD
Fax
Ramal
Ação
Mensagem</t>
  </si>
  <si>
    <t>Consignatárias
Localidade</t>
  </si>
  <si>
    <t>Manter Contratos de Serviços</t>
  </si>
  <si>
    <t>Pesquisar Auxiliar  de Consignatária</t>
  </si>
  <si>
    <t>CNPJ
Código da consignatária
Nome da consignatária
Sigla da consignatária
Tipo de serviço
Ação
Mensagem</t>
  </si>
  <si>
    <t xml:space="preserve">Incluir Contratos de Serviços </t>
  </si>
  <si>
    <t>Agrupamento de órgãos
Órgão que representa o agrupamento (contratante)
Consignatária (contratada)
Número do contrato
Data inicial do contrato
Data final do contrato
Data final após prorrogação
Tipo de serviço
Descrição do serviço
Objeto do contrato
Endereço da imagem de publicação do contrato
Número da apólice
Registro na SUSEP
Taxa de angariamento
CPF
Nome
Taxa de corretagem
DDD
Comercial
Ramal
DDD Residencial
Residencial
DDD Celular
Celular
CNPJ
Nome da empresa</t>
  </si>
  <si>
    <t>Agrupamento
Orgao
Contrato servico</t>
  </si>
  <si>
    <t xml:space="preserve">Alterar Contratos de Serviços </t>
  </si>
  <si>
    <t>Manter Registro de Recolhimento Avulso de Previdencia</t>
  </si>
  <si>
    <t>Incluir Registro de Recolhimento Avulso de Previdencia</t>
  </si>
  <si>
    <t>CPF da pessoa
Nome
Referência inicial da vigência  
Referência final da vigência  
Matrícula
Recolhimento
Recolheu o teto
Base de recolhimento
Valor de recolhimento
Alíquota única
CNPJ
Nome da empresa/órgão
Categoria
Ação
Mensagem</t>
  </si>
  <si>
    <t>Pessoa
Recolhimento Previdencia
Orgão</t>
  </si>
  <si>
    <t>Alterar Registro de Recolhimento Avulso de Previdencia</t>
  </si>
  <si>
    <t>CPF da pessoa
Matrícula
Nome
Recolhimento
Referência inicial
Recolheu o teto
Base de recolhimento
Valor de recolhimento
Alíquota única
CNPJ
Nome da empresa/órgão
Categoria
Ação
Mensagem</t>
  </si>
  <si>
    <t>Manter Certificado Digital</t>
  </si>
  <si>
    <t xml:space="preserve">Incluir Certificado Digital </t>
  </si>
  <si>
    <t>Descrição
Tipo
Tipo Inscrição
CPF/CNPJ
Validade
Senha
Certificado
Ação
Mensagem</t>
  </si>
  <si>
    <t>Certificado
Pessoa</t>
  </si>
  <si>
    <t xml:space="preserve">Alterar Certificado Digital </t>
  </si>
  <si>
    <t>Manter Complemento do Vinculo</t>
  </si>
  <si>
    <t xml:space="preserve">Incluir Complemento do Vinculo </t>
  </si>
  <si>
    <t>Matrícula
Sindicato Profissional
Agente Integração
Data de Início de Envio
Envio Anterior à Obrigação
Data do Desligamento
Motivo do Desligamento
Ação
Mensagem</t>
  </si>
  <si>
    <t>Pessoa
Vinculo</t>
  </si>
  <si>
    <t xml:space="preserve">Alterar Complemento do Vinculo </t>
  </si>
  <si>
    <t>Orgao
Matrícula
Sindicato Profissional
Agente Integração
Data de Início de Envio
Envio Anterior à Obrigação
Data do Desligamento
Motivo do Desligamento
Ação
Mensagem</t>
  </si>
  <si>
    <t>Pessoa
Vinculo
Orgao</t>
  </si>
  <si>
    <t>Manter Complemento de Afastamento</t>
  </si>
  <si>
    <t xml:space="preserve">Alterar Complemento de Afastamento </t>
  </si>
  <si>
    <t>Matrícula
Motivo do Afastamento
Data
CNPJ da Disposição 
Onus da Disposição
Ação
Mensagem</t>
  </si>
  <si>
    <t>Pessoa
Afastamento</t>
  </si>
  <si>
    <t>Manter Dirf Mensal</t>
  </si>
  <si>
    <t xml:space="preserve">Alterar Dirf Mensal </t>
  </si>
  <si>
    <t>Referência
Empregador
CPF
Nome
Moléstia Grave	
Dependente	
CR - Receita	
CR - Dedução Dependente	
CR - Pensão Alimentícia	
CR - Previdência Complementar	
CR - Processo de Retenção	
CR - Processo - Detalhamento	
Plano de Saúde	
Reembolso Médico	
Plano de Saúde
CNPJ da Operadora
Registro ANS
Valor Dedução Titular
CNPJ da Operadora	
Registro ANS	
Valor Dedução Titular
Código de Receita (CR)
Tipo de Previdência
CNPJ da Previdência
Valor da Dedução Mensal
Valor Patrocinador Funpresp Mensal
Valor Dedução  Salário
Valor Patrocinador Funpresp  Salário
Receita/Processo/Apuração
Tipo de Dedução
Valor Dedução Suspensa
CNPJ Entidade Previdência Complementar
Valor Contribuição Patrocinador Funpresp
Origem Reembolso
CNPJ da Operadora
Registro ANS
Ação
Mensagem</t>
  </si>
  <si>
    <t>Pessoa
DIRF</t>
  </si>
  <si>
    <t xml:space="preserve">Manter Esocial do Orgão </t>
  </si>
  <si>
    <t xml:space="preserve">Alterar Esocial do Orgão </t>
  </si>
  <si>
    <t>Orgão 
Vigência atual
Nova vigência
Classificação Tributária
Desoneração da Folha
Registro Eletrônico
CNPJ do Ente Federativo
Tributação de PIS/PASEP
Ação
Mensagem</t>
  </si>
  <si>
    <t>Orgao
Esocial param.</t>
  </si>
  <si>
    <t>Manter Parâmetro do Orgão</t>
  </si>
  <si>
    <t xml:space="preserve">Alterar Parâmetro do Orgão </t>
  </si>
  <si>
    <t>Orgão
Ambiente
Implantação
Mês data base
Sindicato principal
Órgão superior
Certificado
Ação
Mensagem</t>
  </si>
  <si>
    <t>SIGRH - RCM - Relatório de Controle de Mudança - CAD - 3600-2025
2.1 (CAD) – Manter Orgao</t>
  </si>
  <si>
    <t>SIGRH - RCM - Relatório de Controle de Mudança - CAD - 3600-2025 
2.2 (CAD) – Manter Unidade Organizacional</t>
  </si>
  <si>
    <t>SIGRH - RCM - Relatório de Controle de Mudança - CAD - 3600-2025
2.3 (CAD) – Manter Órgãos Externos</t>
  </si>
  <si>
    <t>SIGRH - RCM - Relatório de Controle de Mudança - CAD - 3600-2025 
2.4 (CAD) – Manter Prestadores de Serviço</t>
  </si>
  <si>
    <t>SIGRH - RCM - Relatório de Controle de Mudança - CAD - 3600-2025 
2.5 (CAD) – Manter Contratos</t>
  </si>
  <si>
    <t>SIGRH - RCM - Relatório de Controle de Mudança - CAD - 3600-2025 2.6 (CAD) – Manter Convênios</t>
  </si>
  <si>
    <t>SIGRH - RCM - Relatório de Controle de Mudança - CAD - 3600-2025 2.7 (BPC) – Manter Concessão do Auxílio Creche</t>
  </si>
  <si>
    <t>SIGRH - RCM - Relatório de Controle de Mudança - CAD - 3600-2025 2.8 (TAB) – Instituições de Ensino</t>
  </si>
  <si>
    <t>SIGRH - RCM - Relatório de Controle de Mudança - CAD - 3600-2025 2.9 (TAB) – Manter Dados de Empenho da Rubrica</t>
  </si>
  <si>
    <t>SIGRH - RCM - Relatório de Controle de Mudança - CAD - 3600-2025 2.10 (TAB) – Manter Convênios para Créditos Bancários</t>
  </si>
  <si>
    <t>SIGRH - RCM - Relatório de Controle de Mudança - CAD - 3600-2025 2.11 (PAG) – Manter Consignatárias</t>
  </si>
  <si>
    <t>SIGRH - RCM - Relatório de Controle de Mudança - CAD - 3600-2025 2.12 (PAG) – Manter Contratos de Serviços</t>
  </si>
  <si>
    <t>SIGRH - RCM - Relatório de Controle de Mudança - CAD - 3600-2025 2.13 (PAG) – Emitir Relatório de Contribuição Previdenciária do INSS</t>
  </si>
  <si>
    <t>SIGRH - RCM - Relatório de Controle de Mudança - CAD - 3600-2025 2.14 (SOC) – Manter Certificado Digital</t>
  </si>
  <si>
    <t>SIGRH - RCM - Relatório de Controle de Mudança - CAD - 3600-2025 2.15 (SOC) – Manter Complemento do Vínculo</t>
  </si>
  <si>
    <t>SIGRH - RCM - Relatório de Controle de Mudança - CAD - 3600-2025 2.16 (SOC) – Manter Complemento de Afastamento</t>
  </si>
  <si>
    <t>SIGRH - RCM - Relatório de Controle de Mudança - CAD - 3600-2025 2.17 (SOC) – Manter Dirf Mensal</t>
  </si>
  <si>
    <t>SIGRH - RCM - Relatório de Controle de Mudança - CAD - 3600-2025 2.18 (SOC) – Manter Esocial do Órgão</t>
  </si>
  <si>
    <t>SIGRH - RCM - Relatório de Controle de Mudança - CAD - 3600-2025 2.19 (SOC) – Manter Parâmetro do Órgão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</si>
</sst>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3">
    <numFmt numFmtId="44" formatCode="_-&quot;R$&quot;\ * #,##0.00_-;\-&quot;R$&quot;\ * #,##0.00_-;_-&quot;R$&quot;\ * &quot;-&quot;??_-;_-@_-"/>
    <numFmt numFmtId="164" formatCode="_-* #,##0.00_-;\-* #,##0.00_-;_-* \-??_-;_-@_-"/>
    <numFmt numFmtId="165" formatCode="[$R$-416]\ #,##0.00;[Red]\-[$R$-416]\ #,##0.00"/>
  </numFmts>
  <fonts count="40">
    <font>
      <sz val="11"/>
      <color rgb="FF000000"/>
      <name val="Calibri"/>
      <family val="2"/>
      <charset val="1"/>
    </font>
    <font>
      <sz val="11"/>
      <color rgb="FF000000"/>
      <name val="Arial"/>
      <family val="2"/>
      <charset val="1"/>
    </font>
    <font>
      <b/>
      <sz val="11"/>
      <color rgb="FF000000"/>
      <name val="Arial"/>
      <family val="2"/>
      <charset val="1"/>
    </font>
    <font>
      <b/>
      <sz val="9"/>
      <name val="Arial"/>
      <family val="2"/>
      <charset val="1"/>
    </font>
    <font>
      <sz val="10"/>
      <color rgb="FF000000"/>
      <name val="Arial"/>
      <family val="2"/>
      <charset val="1"/>
    </font>
    <font>
      <sz val="11"/>
      <color rgb="FFFFFFFF"/>
      <name val="Arial"/>
      <family val="2"/>
      <charset val="1"/>
    </font>
    <font>
      <sz val="11"/>
      <name val="Arial"/>
      <family val="2"/>
      <charset val="1"/>
    </font>
    <font>
      <sz val="11"/>
      <color rgb="FF000000"/>
      <name val="Calibri"/>
      <family val="2"/>
      <charset val="1"/>
    </font>
    <font>
      <b/>
      <sz val="18"/>
      <color theme="1"/>
      <name val="Calibri"/>
      <family val="2"/>
      <scheme val="minor"/>
    </font>
    <font>
      <b/>
      <sz val="9"/>
      <name val="Arial"/>
      <family val="2"/>
    </font>
    <font>
      <b/>
      <sz val="14"/>
      <color theme="1"/>
      <name val="Calibri"/>
      <family val="2"/>
      <scheme val="minor"/>
    </font>
    <font>
      <b/>
      <sz val="18"/>
      <name val="Calibri"/>
      <family val="2"/>
      <scheme val="minor"/>
    </font>
    <font>
      <b/>
      <sz val="12"/>
      <name val="Calibri"/>
      <family val="2"/>
      <scheme val="minor"/>
    </font>
    <font>
      <b/>
      <sz val="10"/>
      <name val="Calibri"/>
      <family val="2"/>
      <scheme val="minor"/>
    </font>
    <font>
      <sz val="10"/>
      <name val="Calibri"/>
      <family val="2"/>
      <scheme val="minor"/>
    </font>
    <font>
      <sz val="9"/>
      <color indexed="81"/>
      <name val="Segoe UI"/>
      <family val="2"/>
    </font>
    <font>
      <b/>
      <sz val="9"/>
      <color indexed="81"/>
      <name val="Segoe UI"/>
      <family val="2"/>
    </font>
    <font>
      <b/>
      <sz val="9"/>
      <color rgb="FF000000"/>
      <name val="Arial"/>
      <family val="2"/>
    </font>
    <font>
      <b/>
      <sz val="10"/>
      <name val="Arial"/>
      <family val="2"/>
    </font>
    <font>
      <b/>
      <sz val="12"/>
      <color rgb="FF000000"/>
      <name val="Calibri"/>
      <family val="2"/>
    </font>
    <font>
      <sz val="10"/>
      <color rgb="FF000000"/>
      <name val="Calibri"/>
      <family val="2"/>
      <charset val="1"/>
    </font>
    <font>
      <sz val="10"/>
      <name val="Arial"/>
      <family val="2"/>
      <charset val="1"/>
    </font>
    <font>
      <sz val="11"/>
      <name val="Arial"/>
      <family val="2"/>
    </font>
    <font>
      <b/>
      <sz val="10"/>
      <color rgb="FF000000"/>
      <name val="Arial"/>
      <family val="2"/>
    </font>
    <font>
      <b/>
      <u/>
      <sz val="9"/>
      <color indexed="81"/>
      <name val="Segoe UI"/>
      <family val="2"/>
    </font>
    <font>
      <b/>
      <sz val="9"/>
      <name val="Calibri"/>
      <family val="2"/>
      <scheme val="minor"/>
    </font>
    <font>
      <b/>
      <sz val="11"/>
      <name val="Calibri"/>
      <family val="2"/>
      <scheme val="minor"/>
    </font>
    <font>
      <sz val="9"/>
      <name val="Calibri"/>
      <family val="2"/>
      <scheme val="minor"/>
    </font>
    <font>
      <sz val="11"/>
      <color rgb="FF000000"/>
      <name val="Calibri"/>
      <family val="2"/>
      <scheme val="minor"/>
    </font>
    <font>
      <sz val="9"/>
      <color rgb="FF000000"/>
      <name val="Calibri"/>
      <family val="2"/>
      <scheme val="minor"/>
    </font>
    <font>
      <sz val="11"/>
      <name val="Calibri"/>
      <family val="2"/>
      <scheme val="minor"/>
    </font>
    <font>
      <b/>
      <sz val="14"/>
      <color rgb="FF000000"/>
      <name val="Calibri"/>
      <family val="2"/>
      <scheme val="minor"/>
    </font>
    <font>
      <sz val="11"/>
      <color indexed="8"/>
      <name val="Arial1"/>
    </font>
    <font>
      <sz val="10"/>
      <name val="Arial"/>
      <family val="2"/>
    </font>
    <font>
      <b/>
      <i/>
      <sz val="16"/>
      <color indexed="8"/>
      <name val="Arial1"/>
    </font>
    <font>
      <sz val="10"/>
      <color indexed="8"/>
      <name val="Arial2"/>
    </font>
    <font>
      <sz val="10"/>
      <name val="ARIAL"/>
      <family val="2"/>
    </font>
    <font>
      <b/>
      <i/>
      <u/>
      <sz val="11"/>
      <color indexed="8"/>
      <name val="Arial1"/>
    </font>
    <font>
      <b/>
      <sz val="15"/>
      <color indexed="56"/>
      <name val="Calibri"/>
      <family val="2"/>
    </font>
    <font>
      <sz val="8"/>
      <name val="Calibri"/>
      <family val="2"/>
      <charset val="1"/>
    </font>
  </fonts>
  <fills count="25">
    <fill>
      <patternFill patternType="none"/>
    </fill>
    <fill>
      <patternFill patternType="gray125"/>
    </fill>
    <fill>
      <patternFill patternType="solid">
        <fgColor rgb="FFE6B9B8"/>
        <bgColor rgb="FFC0C0C0"/>
      </patternFill>
    </fill>
    <fill>
      <patternFill patternType="solid">
        <fgColor rgb="FFFFFFFF"/>
        <bgColor rgb="FFF2F2F2"/>
      </patternFill>
    </fill>
    <fill>
      <patternFill patternType="solid">
        <fgColor rgb="FF000000"/>
        <bgColor rgb="FF003300"/>
      </patternFill>
    </fill>
    <fill>
      <patternFill patternType="solid">
        <fgColor rgb="FFB7DEE8"/>
        <bgColor rgb="FFC6D9F1"/>
      </patternFill>
    </fill>
    <fill>
      <patternFill patternType="solid">
        <fgColor theme="0"/>
        <bgColor rgb="FFF2F2F2"/>
      </patternFill>
    </fill>
    <fill>
      <patternFill patternType="solid">
        <fgColor theme="0" tint="-0.14999847407452621"/>
        <bgColor indexed="64"/>
      </patternFill>
    </fill>
    <fill>
      <patternFill patternType="solid">
        <fgColor theme="0" tint="-0.34998626667073579"/>
        <bgColor indexed="64"/>
      </patternFill>
    </fill>
    <fill>
      <patternFill patternType="solid">
        <fgColor theme="0" tint="-0.34998626667073579"/>
        <bgColor rgb="FFB7DEE8"/>
      </patternFill>
    </fill>
    <fill>
      <patternFill patternType="solid">
        <fgColor theme="0" tint="-0.34998626667073579"/>
        <bgColor rgb="FFEEECE1"/>
      </patternFill>
    </fill>
    <fill>
      <patternFill patternType="solid">
        <fgColor theme="7" tint="0.59999389629810485"/>
        <bgColor rgb="FFFFFF00"/>
      </patternFill>
    </fill>
    <fill>
      <patternFill patternType="solid">
        <fgColor theme="0"/>
        <bgColor indexed="64"/>
      </patternFill>
    </fill>
    <fill>
      <patternFill patternType="solid">
        <fgColor theme="0"/>
        <bgColor rgb="FFC0C0C0"/>
      </patternFill>
    </fill>
    <fill>
      <patternFill patternType="solid">
        <fgColor theme="0"/>
        <bgColor rgb="FF003300"/>
      </patternFill>
    </fill>
    <fill>
      <patternFill patternType="solid">
        <fgColor theme="0" tint="-0.34998626667073579"/>
        <bgColor rgb="FFF2F2F2"/>
      </patternFill>
    </fill>
    <fill>
      <patternFill patternType="solid">
        <fgColor theme="0" tint="-0.34998626667073579"/>
        <bgColor rgb="FF003300"/>
      </patternFill>
    </fill>
    <fill>
      <patternFill patternType="solid">
        <fgColor theme="0" tint="-0.249977111117893"/>
        <bgColor indexed="64"/>
      </patternFill>
    </fill>
    <fill>
      <patternFill patternType="solid">
        <fgColor theme="0"/>
        <bgColor rgb="FFFFFF00"/>
      </patternFill>
    </fill>
    <fill>
      <patternFill patternType="solid">
        <fgColor theme="0"/>
        <bgColor rgb="FFEEECE1"/>
      </patternFill>
    </fill>
    <fill>
      <patternFill patternType="solid">
        <fgColor theme="0" tint="-0.14999847407452621"/>
        <bgColor rgb="FFBFBFBF"/>
      </patternFill>
    </fill>
    <fill>
      <patternFill patternType="solid">
        <fgColor theme="0" tint="-0.14999847407452621"/>
        <bgColor rgb="FFC0C0C0"/>
      </patternFill>
    </fill>
    <fill>
      <patternFill patternType="solid">
        <fgColor theme="0" tint="-0.14999847407452621"/>
        <bgColor rgb="FFFFFF00"/>
      </patternFill>
    </fill>
    <fill>
      <patternFill patternType="solid">
        <fgColor theme="0" tint="-0.14999847407452621"/>
        <bgColor rgb="FFEEECE1"/>
      </patternFill>
    </fill>
    <fill>
      <patternFill patternType="solid">
        <fgColor theme="0" tint="-0.249977111117893"/>
        <bgColor rgb="FFBFBFBF"/>
      </patternFill>
    </fill>
  </fills>
  <borders count="51">
    <border>
      <left/>
      <right/>
      <top/>
      <bottom/>
      <diagonal/>
    </border>
    <border>
      <left style="hair">
        <color auto="1"/>
      </left>
      <right style="hair">
        <color auto="1"/>
      </right>
      <top style="hair">
        <color auto="1"/>
      </top>
      <bottom style="hair">
        <color auto="1"/>
      </bottom>
      <diagonal/>
    </border>
    <border>
      <left style="hair">
        <color auto="1"/>
      </left>
      <right style="hair">
        <color auto="1"/>
      </right>
      <top/>
      <bottom style="hair">
        <color auto="1"/>
      </bottom>
      <diagonal/>
    </border>
    <border>
      <left style="hair">
        <color auto="1"/>
      </left>
      <right/>
      <top style="hair">
        <color auto="1"/>
      </top>
      <bottom style="hair">
        <color auto="1"/>
      </bottom>
      <diagonal/>
    </border>
    <border>
      <left/>
      <right/>
      <top style="hair">
        <color auto="1"/>
      </top>
      <bottom/>
      <diagonal/>
    </border>
    <border>
      <left/>
      <right style="hair">
        <color auto="1"/>
      </right>
      <top style="hair">
        <color auto="1"/>
      </top>
      <bottom style="hair">
        <color auto="1"/>
      </bottom>
      <diagonal/>
    </border>
    <border>
      <left/>
      <right/>
      <top style="hair">
        <color auto="1"/>
      </top>
      <bottom style="hair">
        <color auto="1"/>
      </bottom>
      <diagonal/>
    </border>
    <border>
      <left/>
      <right/>
      <top/>
      <bottom style="hair">
        <color auto="1"/>
      </bottom>
      <diagonal/>
    </border>
    <border>
      <left style="hair">
        <color auto="1"/>
      </left>
      <right style="hair">
        <color auto="1"/>
      </right>
      <top style="hair">
        <color auto="1"/>
      </top>
      <bottom/>
      <diagonal/>
    </border>
    <border>
      <left style="hair">
        <color auto="1"/>
      </left>
      <right/>
      <top style="hair">
        <color auto="1"/>
      </top>
      <bottom/>
      <diagonal/>
    </border>
    <border>
      <left style="thin">
        <color auto="1"/>
      </left>
      <right style="thin">
        <color auto="1"/>
      </right>
      <top style="thin">
        <color auto="1"/>
      </top>
      <bottom style="thin">
        <color auto="1"/>
      </bottom>
      <diagonal/>
    </border>
    <border>
      <left/>
      <right/>
      <top/>
      <bottom style="thin">
        <color auto="1"/>
      </bottom>
      <diagonal/>
    </border>
    <border>
      <left/>
      <right style="medium">
        <color indexed="64"/>
      </right>
      <top/>
      <bottom/>
      <diagonal/>
    </border>
    <border>
      <left style="medium">
        <color indexed="64"/>
      </left>
      <right/>
      <top/>
      <bottom/>
      <diagonal/>
    </border>
    <border>
      <left style="hair">
        <color indexed="8"/>
      </left>
      <right/>
      <top style="hair">
        <color indexed="8"/>
      </top>
      <bottom style="hair">
        <color indexed="8"/>
      </bottom>
      <diagonal/>
    </border>
    <border>
      <left/>
      <right style="hair">
        <color auto="1"/>
      </right>
      <top/>
      <bottom/>
      <diagonal/>
    </border>
    <border>
      <left style="thin">
        <color indexed="64"/>
      </left>
      <right/>
      <top/>
      <bottom style="thin">
        <color auto="1"/>
      </bottom>
      <diagonal/>
    </border>
    <border>
      <left style="medium">
        <color indexed="64"/>
      </left>
      <right style="hair">
        <color auto="1"/>
      </right>
      <top style="hair">
        <color auto="1"/>
      </top>
      <bottom style="hair">
        <color auto="1"/>
      </bottom>
      <diagonal/>
    </border>
    <border>
      <left style="hair">
        <color auto="1"/>
      </left>
      <right style="medium">
        <color indexed="64"/>
      </right>
      <top style="hair">
        <color auto="1"/>
      </top>
      <bottom style="hair">
        <color auto="1"/>
      </bottom>
      <diagonal/>
    </border>
    <border>
      <left/>
      <right style="medium">
        <color indexed="64"/>
      </right>
      <top style="hair">
        <color auto="1"/>
      </top>
      <bottom style="hair">
        <color auto="1"/>
      </bottom>
      <diagonal/>
    </border>
    <border>
      <left style="medium">
        <color indexed="64"/>
      </left>
      <right/>
      <top style="hair">
        <color indexed="8"/>
      </top>
      <bottom style="hair">
        <color indexed="8"/>
      </bottom>
      <diagonal/>
    </border>
    <border>
      <left style="hair">
        <color indexed="8"/>
      </left>
      <right style="medium">
        <color indexed="64"/>
      </right>
      <top style="hair">
        <color indexed="8"/>
      </top>
      <bottom style="hair">
        <color indexed="8"/>
      </bottom>
      <diagonal/>
    </border>
    <border>
      <left style="medium">
        <color indexed="64"/>
      </left>
      <right style="hair">
        <color auto="1"/>
      </right>
      <top style="hair">
        <color auto="1"/>
      </top>
      <bottom style="medium">
        <color indexed="64"/>
      </bottom>
      <diagonal/>
    </border>
    <border>
      <left style="hair">
        <color auto="1"/>
      </left>
      <right style="hair">
        <color auto="1"/>
      </right>
      <top style="hair">
        <color auto="1"/>
      </top>
      <bottom style="medium">
        <color indexed="64"/>
      </bottom>
      <diagonal/>
    </border>
    <border>
      <left style="hair">
        <color auto="1"/>
      </left>
      <right style="medium">
        <color indexed="64"/>
      </right>
      <top style="hair">
        <color auto="1"/>
      </top>
      <bottom style="medium">
        <color indexed="64"/>
      </bottom>
      <diagonal/>
    </border>
    <border>
      <left style="medium">
        <color indexed="64"/>
      </left>
      <right/>
      <top style="medium">
        <color indexed="64"/>
      </top>
      <bottom style="hair">
        <color auto="1"/>
      </bottom>
      <diagonal/>
    </border>
    <border>
      <left/>
      <right/>
      <top style="medium">
        <color indexed="64"/>
      </top>
      <bottom style="hair">
        <color auto="1"/>
      </bottom>
      <diagonal/>
    </border>
    <border>
      <left/>
      <right style="medium">
        <color indexed="64"/>
      </right>
      <top style="medium">
        <color indexed="64"/>
      </top>
      <bottom style="hair">
        <color auto="1"/>
      </bottom>
      <diagonal/>
    </border>
    <border>
      <left/>
      <right style="thin">
        <color auto="1"/>
      </right>
      <top style="thin">
        <color auto="1"/>
      </top>
      <bottom style="thin">
        <color auto="1"/>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auto="1"/>
      </right>
      <top style="medium">
        <color indexed="64"/>
      </top>
      <bottom style="thin">
        <color auto="1"/>
      </bottom>
      <diagonal/>
    </border>
    <border>
      <left style="medium">
        <color indexed="64"/>
      </left>
      <right style="thin">
        <color auto="1"/>
      </right>
      <top/>
      <bottom/>
      <diagonal/>
    </border>
    <border>
      <left style="thin">
        <color auto="1"/>
      </left>
      <right/>
      <top/>
      <bottom/>
      <diagonal/>
    </border>
    <border>
      <left style="medium">
        <color indexed="64"/>
      </left>
      <right style="thin">
        <color auto="1"/>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auto="1"/>
      </left>
      <right/>
      <top style="medium">
        <color indexed="64"/>
      </top>
      <bottom style="medium">
        <color indexed="64"/>
      </bottom>
      <diagonal/>
    </border>
    <border>
      <left style="thin">
        <color auto="1"/>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hair">
        <color auto="1"/>
      </left>
      <right/>
      <top/>
      <bottom style="hair">
        <color auto="1"/>
      </bottom>
      <diagonal/>
    </border>
    <border>
      <left style="hair">
        <color auto="1"/>
      </left>
      <right style="hair">
        <color auto="1"/>
      </right>
      <top/>
      <bottom/>
      <diagonal/>
    </border>
    <border>
      <left/>
      <right/>
      <top/>
      <bottom style="thin">
        <color indexed="62"/>
      </bottom>
      <diagonal/>
    </border>
  </borders>
  <cellStyleXfs count="15">
    <xf numFmtId="0" fontId="0" fillId="0" borderId="0"/>
    <xf numFmtId="164" fontId="7" fillId="0" borderId="0" applyBorder="0" applyProtection="0"/>
    <xf numFmtId="9" fontId="7" fillId="0" borderId="0" applyBorder="0" applyProtection="0"/>
    <xf numFmtId="0" fontId="32" fillId="0" borderId="0"/>
    <xf numFmtId="0" fontId="34" fillId="0" borderId="0">
      <alignment horizontal="center"/>
    </xf>
    <xf numFmtId="0" fontId="34" fillId="0" borderId="0">
      <alignment horizontal="center" textRotation="90"/>
    </xf>
    <xf numFmtId="44" fontId="33" fillId="0" borderId="0" applyFill="0" applyBorder="0" applyAlignment="0" applyProtection="0"/>
    <xf numFmtId="0" fontId="35" fillId="0" borderId="0"/>
    <xf numFmtId="0" fontId="32" fillId="0" borderId="0"/>
    <xf numFmtId="0" fontId="36" fillId="0" borderId="0"/>
    <xf numFmtId="0" fontId="37" fillId="0" borderId="0"/>
    <xf numFmtId="165" fontId="37" fillId="0" borderId="0"/>
    <xf numFmtId="0" fontId="38" fillId="0" borderId="50"/>
    <xf numFmtId="44" fontId="33" fillId="0" borderId="0" applyFill="0" applyBorder="0" applyAlignment="0" applyProtection="0"/>
    <xf numFmtId="0" fontId="33" fillId="0" borderId="0"/>
  </cellStyleXfs>
  <cellXfs count="216">
    <xf numFmtId="0" fontId="0" fillId="0" borderId="0" xfId="0"/>
    <xf numFmtId="0" fontId="1" fillId="0" borderId="0" xfId="0" applyFont="1"/>
    <xf numFmtId="0" fontId="0" fillId="0" borderId="0" xfId="0" applyAlignment="1">
      <alignment horizontal="center" vertical="center"/>
    </xf>
    <xf numFmtId="0" fontId="0" fillId="0" borderId="0" xfId="0" applyAlignment="1">
      <alignment wrapText="1"/>
    </xf>
    <xf numFmtId="0" fontId="0" fillId="0" borderId="0" xfId="0" applyAlignment="1">
      <alignment horizontal="left" vertical="center"/>
    </xf>
    <xf numFmtId="0" fontId="9" fillId="7" borderId="14" xfId="0" applyFont="1" applyFill="1" applyBorder="1" applyAlignment="1">
      <alignment horizontal="center" vertical="center" wrapText="1"/>
    </xf>
    <xf numFmtId="0" fontId="9" fillId="7" borderId="14" xfId="0" applyFont="1" applyFill="1" applyBorder="1" applyAlignment="1">
      <alignment horizontal="left" vertical="center"/>
    </xf>
    <xf numFmtId="0" fontId="1" fillId="0" borderId="0" xfId="0" applyFont="1" applyAlignment="1">
      <alignment horizontal="left" vertical="center"/>
    </xf>
    <xf numFmtId="0" fontId="14" fillId="0" borderId="0" xfId="0" applyFont="1" applyProtection="1">
      <protection hidden="1"/>
    </xf>
    <xf numFmtId="0" fontId="14" fillId="0" borderId="10" xfId="0" applyFont="1" applyBorder="1" applyAlignment="1" applyProtection="1">
      <alignment horizontal="right"/>
      <protection hidden="1"/>
    </xf>
    <xf numFmtId="0" fontId="14" fillId="0" borderId="10" xfId="0" applyFont="1" applyBorder="1" applyProtection="1">
      <protection hidden="1"/>
    </xf>
    <xf numFmtId="2" fontId="14" fillId="0" borderId="10" xfId="0" applyNumberFormat="1" applyFont="1" applyBorder="1" applyAlignment="1" applyProtection="1">
      <alignment horizontal="center"/>
      <protection hidden="1"/>
    </xf>
    <xf numFmtId="0" fontId="14" fillId="0" borderId="0" xfId="0" applyFont="1" applyAlignment="1" applyProtection="1">
      <alignment horizontal="right"/>
      <protection hidden="1"/>
    </xf>
    <xf numFmtId="10" fontId="2" fillId="11" borderId="1" xfId="2" applyNumberFormat="1" applyFont="1" applyFill="1" applyBorder="1" applyAlignment="1" applyProtection="1">
      <alignment horizontal="center"/>
    </xf>
    <xf numFmtId="0" fontId="4" fillId="0" borderId="0" xfId="0" applyFont="1"/>
    <xf numFmtId="0" fontId="4" fillId="0" borderId="12" xfId="0" applyFont="1" applyBorder="1"/>
    <xf numFmtId="0" fontId="9" fillId="7" borderId="20" xfId="0" applyFont="1" applyFill="1" applyBorder="1" applyAlignment="1">
      <alignment horizontal="center" vertical="center" wrapText="1"/>
    </xf>
    <xf numFmtId="0" fontId="9" fillId="7" borderId="21" xfId="0" applyFont="1" applyFill="1" applyBorder="1" applyAlignment="1">
      <alignment horizontal="center" vertical="center" wrapText="1"/>
    </xf>
    <xf numFmtId="0" fontId="1" fillId="0" borderId="0" xfId="0" applyFont="1" applyAlignment="1">
      <alignment horizontal="left" vertical="top"/>
    </xf>
    <xf numFmtId="0" fontId="1" fillId="0" borderId="0" xfId="0" applyFont="1" applyAlignment="1">
      <alignment horizontal="left" vertical="top" wrapText="1"/>
    </xf>
    <xf numFmtId="0" fontId="18" fillId="17" borderId="8" xfId="0" applyFont="1" applyFill="1" applyBorder="1" applyAlignment="1">
      <alignment horizontal="center" vertical="center" wrapText="1"/>
    </xf>
    <xf numFmtId="0" fontId="18" fillId="17" borderId="8" xfId="0" applyFont="1" applyFill="1" applyBorder="1" applyAlignment="1">
      <alignment horizontal="left" vertical="center" wrapText="1"/>
    </xf>
    <xf numFmtId="0" fontId="20" fillId="0" borderId="0" xfId="0" applyFont="1"/>
    <xf numFmtId="0" fontId="21" fillId="18" borderId="10" xfId="0" applyFont="1" applyFill="1" applyBorder="1" applyAlignment="1">
      <alignment horizontal="center" vertical="center" wrapText="1"/>
    </xf>
    <xf numFmtId="0" fontId="21" fillId="19" borderId="10" xfId="0" applyFont="1" applyFill="1" applyBorder="1" applyAlignment="1">
      <alignment horizontal="center" vertical="center"/>
    </xf>
    <xf numFmtId="0" fontId="21" fillId="19" borderId="28" xfId="0" applyFont="1" applyFill="1" applyBorder="1" applyAlignment="1">
      <alignment horizontal="center" vertical="center"/>
    </xf>
    <xf numFmtId="0" fontId="21" fillId="22" borderId="10" xfId="0" applyFont="1" applyFill="1" applyBorder="1" applyAlignment="1">
      <alignment horizontal="center" vertical="center" wrapText="1"/>
    </xf>
    <xf numFmtId="0" fontId="21" fillId="23" borderId="28" xfId="0" applyFont="1" applyFill="1" applyBorder="1" applyAlignment="1">
      <alignment horizontal="center" vertical="center"/>
    </xf>
    <xf numFmtId="0" fontId="21" fillId="23" borderId="10" xfId="0" applyFont="1" applyFill="1" applyBorder="1" applyAlignment="1">
      <alignment horizontal="center" vertical="center"/>
    </xf>
    <xf numFmtId="0" fontId="21" fillId="20" borderId="10" xfId="0" applyFont="1" applyFill="1" applyBorder="1" applyAlignment="1">
      <alignment horizontal="center" vertical="center"/>
    </xf>
    <xf numFmtId="0" fontId="21" fillId="20" borderId="28" xfId="0" applyFont="1" applyFill="1" applyBorder="1" applyAlignment="1">
      <alignment horizontal="center" vertical="center"/>
    </xf>
    <xf numFmtId="0" fontId="21" fillId="20" borderId="33" xfId="0" applyFont="1" applyFill="1" applyBorder="1" applyAlignment="1">
      <alignment horizontal="center" vertical="center"/>
    </xf>
    <xf numFmtId="0" fontId="21" fillId="20" borderId="32" xfId="0" applyFont="1" applyFill="1" applyBorder="1" applyAlignment="1">
      <alignment horizontal="left" vertical="center"/>
    </xf>
    <xf numFmtId="0" fontId="21" fillId="23" borderId="33" xfId="0" applyFont="1" applyFill="1" applyBorder="1" applyAlignment="1">
      <alignment horizontal="center" vertical="center"/>
    </xf>
    <xf numFmtId="0" fontId="21" fillId="19" borderId="33" xfId="0" applyFont="1" applyFill="1" applyBorder="1" applyAlignment="1">
      <alignment horizontal="center" vertical="center"/>
    </xf>
    <xf numFmtId="0" fontId="20" fillId="0" borderId="0" xfId="0" applyFont="1" applyAlignment="1">
      <alignment vertical="center"/>
    </xf>
    <xf numFmtId="0" fontId="20" fillId="0" borderId="12" xfId="0" applyFont="1" applyBorder="1" applyAlignment="1">
      <alignment vertical="center"/>
    </xf>
    <xf numFmtId="0" fontId="20" fillId="0" borderId="36" xfId="0" applyFont="1" applyBorder="1" applyAlignment="1">
      <alignment vertical="center"/>
    </xf>
    <xf numFmtId="0" fontId="20" fillId="0" borderId="37" xfId="0" applyFont="1" applyBorder="1" applyAlignment="1">
      <alignment vertical="center"/>
    </xf>
    <xf numFmtId="0" fontId="18" fillId="20" borderId="34" xfId="0" applyFont="1" applyFill="1" applyBorder="1" applyAlignment="1">
      <alignment horizontal="left" vertical="center"/>
    </xf>
    <xf numFmtId="0" fontId="18" fillId="20" borderId="35" xfId="0" applyFont="1" applyFill="1" applyBorder="1" applyAlignment="1">
      <alignment horizontal="center" vertical="center" wrapText="1"/>
    </xf>
    <xf numFmtId="0" fontId="21" fillId="0" borderId="36" xfId="0" applyFont="1" applyBorder="1" applyAlignment="1">
      <alignment horizontal="center" vertical="center"/>
    </xf>
    <xf numFmtId="0" fontId="21" fillId="0" borderId="37" xfId="0" applyFont="1" applyBorder="1" applyAlignment="1">
      <alignment horizontal="center" vertical="center"/>
    </xf>
    <xf numFmtId="0" fontId="18" fillId="20" borderId="39" xfId="0" applyFont="1" applyFill="1" applyBorder="1" applyAlignment="1">
      <alignment horizontal="left" vertical="center"/>
    </xf>
    <xf numFmtId="0" fontId="18" fillId="20" borderId="40" xfId="0" applyFont="1" applyFill="1" applyBorder="1" applyAlignment="1">
      <alignment horizontal="center" vertical="center" wrapText="1"/>
    </xf>
    <xf numFmtId="0" fontId="18" fillId="24" borderId="41" xfId="0" applyFont="1" applyFill="1" applyBorder="1" applyAlignment="1">
      <alignment horizontal="left" vertical="center"/>
    </xf>
    <xf numFmtId="0" fontId="0" fillId="17" borderId="10" xfId="0" applyFill="1" applyBorder="1" applyAlignment="1">
      <alignment horizontal="center" vertical="center"/>
    </xf>
    <xf numFmtId="0" fontId="0" fillId="0" borderId="10" xfId="0" applyBorder="1" applyAlignment="1">
      <alignment horizontal="center" vertical="center"/>
    </xf>
    <xf numFmtId="0" fontId="23" fillId="8" borderId="6" xfId="0" applyFont="1" applyFill="1" applyBorder="1" applyAlignment="1">
      <alignment horizontal="right" vertical="center" wrapText="1"/>
    </xf>
    <xf numFmtId="2" fontId="13" fillId="17" borderId="10" xfId="0" applyNumberFormat="1" applyFont="1" applyFill="1" applyBorder="1" applyAlignment="1" applyProtection="1">
      <alignment horizontal="center" vertical="center" wrapText="1"/>
      <protection hidden="1"/>
    </xf>
    <xf numFmtId="0" fontId="0" fillId="0" borderId="10" xfId="0" applyBorder="1"/>
    <xf numFmtId="0" fontId="25" fillId="15" borderId="1" xfId="0" applyFont="1" applyFill="1" applyBorder="1" applyAlignment="1" applyProtection="1">
      <alignment horizontal="center" vertical="center" wrapText="1"/>
      <protection locked="0"/>
    </xf>
    <xf numFmtId="0" fontId="25" fillId="15" borderId="5" xfId="0" applyFont="1" applyFill="1" applyBorder="1" applyAlignment="1" applyProtection="1">
      <alignment horizontal="center" vertical="center" wrapText="1"/>
      <protection locked="0"/>
    </xf>
    <xf numFmtId="2" fontId="26" fillId="15" borderId="1" xfId="0" applyNumberFormat="1" applyFont="1" applyFill="1" applyBorder="1" applyAlignment="1">
      <alignment horizontal="center" vertical="center"/>
    </xf>
    <xf numFmtId="0" fontId="27" fillId="0" borderId="8" xfId="0" applyFont="1" applyBorder="1" applyAlignment="1" applyProtection="1">
      <alignment horizontal="left" vertical="top" wrapText="1"/>
      <protection locked="0"/>
    </xf>
    <xf numFmtId="0" fontId="27" fillId="0" borderId="1" xfId="0" applyFont="1" applyBorder="1" applyAlignment="1" applyProtection="1">
      <alignment horizontal="center" vertical="center"/>
      <protection locked="0"/>
    </xf>
    <xf numFmtId="0" fontId="27" fillId="0" borderId="1" xfId="0" applyFont="1" applyBorder="1" applyAlignment="1" applyProtection="1">
      <alignment horizontal="left" vertical="top" wrapText="1"/>
      <protection locked="0"/>
    </xf>
    <xf numFmtId="0" fontId="27" fillId="2" borderId="1" xfId="0" applyFont="1" applyFill="1" applyBorder="1" applyAlignment="1">
      <alignment horizontal="center" vertical="center"/>
    </xf>
    <xf numFmtId="0" fontId="27" fillId="15" borderId="2" xfId="0" applyFont="1" applyFill="1" applyBorder="1" applyAlignment="1">
      <alignment horizontal="center" vertical="center"/>
    </xf>
    <xf numFmtId="0" fontId="29" fillId="15" borderId="1" xfId="0" applyFont="1" applyFill="1" applyBorder="1" applyAlignment="1">
      <alignment horizontal="center" vertical="center"/>
    </xf>
    <xf numFmtId="0" fontId="29" fillId="15" borderId="2" xfId="0" applyFont="1" applyFill="1" applyBorder="1" applyAlignment="1">
      <alignment horizontal="center" vertical="center"/>
    </xf>
    <xf numFmtId="0" fontId="27" fillId="0" borderId="2" xfId="0" applyFont="1" applyBorder="1" applyAlignment="1" applyProtection="1">
      <alignment vertical="center" wrapText="1"/>
      <protection locked="0"/>
    </xf>
    <xf numFmtId="0" fontId="29" fillId="0" borderId="1" xfId="0" applyFont="1" applyBorder="1" applyAlignment="1" applyProtection="1">
      <alignment horizontal="left" vertical="top" wrapText="1"/>
      <protection locked="0"/>
    </xf>
    <xf numFmtId="0" fontId="27" fillId="15" borderId="1" xfId="0" applyFont="1" applyFill="1" applyBorder="1" applyAlignment="1">
      <alignment horizontal="center" vertical="center"/>
    </xf>
    <xf numFmtId="0" fontId="27" fillId="0" borderId="1" xfId="0" applyFont="1" applyBorder="1" applyAlignment="1" applyProtection="1">
      <alignment horizontal="left" vertical="top"/>
      <protection locked="0"/>
    </xf>
    <xf numFmtId="0" fontId="28" fillId="8" borderId="4" xfId="0" applyFont="1" applyFill="1" applyBorder="1" applyAlignment="1" applyProtection="1">
      <alignment vertical="center"/>
      <protection locked="0"/>
    </xf>
    <xf numFmtId="0" fontId="28" fillId="8" borderId="4" xfId="0" applyFont="1" applyFill="1" applyBorder="1" applyAlignment="1">
      <alignment vertical="center"/>
    </xf>
    <xf numFmtId="0" fontId="28" fillId="8" borderId="0" xfId="0" applyFont="1" applyFill="1" applyAlignment="1">
      <alignment horizontal="center" vertical="center"/>
    </xf>
    <xf numFmtId="0" fontId="30" fillId="15" borderId="4" xfId="0" applyFont="1" applyFill="1" applyBorder="1" applyAlignment="1">
      <alignment vertical="center"/>
    </xf>
    <xf numFmtId="0" fontId="30" fillId="12" borderId="0" xfId="0" applyFont="1" applyFill="1" applyAlignment="1" applyProtection="1">
      <alignment vertical="center"/>
      <protection locked="0"/>
    </xf>
    <xf numFmtId="0" fontId="30" fillId="12" borderId="0" xfId="0" applyFont="1" applyFill="1" applyAlignment="1" applyProtection="1">
      <alignment horizontal="center" vertical="center"/>
      <protection locked="0"/>
    </xf>
    <xf numFmtId="0" fontId="30" fillId="12" borderId="0" xfId="0" applyFont="1" applyFill="1" applyAlignment="1" applyProtection="1">
      <alignment horizontal="left" vertical="center"/>
      <protection locked="0"/>
    </xf>
    <xf numFmtId="0" fontId="30" fillId="13" borderId="0" xfId="0" applyFont="1" applyFill="1" applyAlignment="1" applyProtection="1">
      <alignment vertical="center"/>
      <protection locked="0"/>
    </xf>
    <xf numFmtId="0" fontId="30" fillId="12" borderId="0" xfId="0" applyFont="1" applyFill="1" applyAlignment="1" applyProtection="1">
      <alignment vertical="center" wrapText="1"/>
      <protection locked="0"/>
    </xf>
    <xf numFmtId="0" fontId="31" fillId="4" borderId="7" xfId="0" applyFont="1" applyFill="1" applyBorder="1" applyAlignment="1">
      <alignment horizontal="center" vertical="center"/>
    </xf>
    <xf numFmtId="0" fontId="31" fillId="4" borderId="7" xfId="0" applyFont="1" applyFill="1" applyBorder="1" applyAlignment="1">
      <alignment horizontal="center" vertical="center" wrapText="1"/>
    </xf>
    <xf numFmtId="0" fontId="30" fillId="12" borderId="0" xfId="0" applyFont="1" applyFill="1" applyAlignment="1">
      <alignment vertical="center"/>
    </xf>
    <xf numFmtId="0" fontId="25" fillId="4" borderId="9" xfId="0" applyFont="1" applyFill="1" applyBorder="1" applyAlignment="1">
      <alignment horizontal="center" vertical="center" wrapText="1"/>
    </xf>
    <xf numFmtId="0" fontId="30" fillId="12" borderId="0" xfId="0" applyFont="1" applyFill="1" applyAlignment="1">
      <alignment horizontal="center" vertical="center"/>
    </xf>
    <xf numFmtId="0" fontId="26" fillId="5" borderId="2" xfId="0" applyFont="1" applyFill="1" applyBorder="1" applyAlignment="1">
      <alignment horizontal="center" vertical="center"/>
    </xf>
    <xf numFmtId="0" fontId="27" fillId="4" borderId="1" xfId="0" applyFont="1" applyFill="1" applyBorder="1" applyAlignment="1">
      <alignment vertical="center"/>
    </xf>
    <xf numFmtId="0" fontId="27" fillId="3" borderId="1" xfId="0" applyFont="1" applyFill="1" applyBorder="1" applyAlignment="1">
      <alignment horizontal="center" vertical="center"/>
    </xf>
    <xf numFmtId="0" fontId="27" fillId="5" borderId="1" xfId="0" applyFont="1" applyFill="1" applyBorder="1" applyAlignment="1">
      <alignment horizontal="center" vertical="center"/>
    </xf>
    <xf numFmtId="0" fontId="27" fillId="5" borderId="1" xfId="0" applyFont="1" applyFill="1" applyBorder="1" applyAlignment="1">
      <alignment horizontal="center" vertical="center" wrapText="1"/>
    </xf>
    <xf numFmtId="0" fontId="27" fillId="0" borderId="1" xfId="0" applyFont="1" applyBorder="1" applyAlignment="1">
      <alignment horizontal="left" vertical="top" wrapText="1"/>
    </xf>
    <xf numFmtId="0" fontId="27" fillId="4" borderId="1" xfId="0" applyFont="1" applyFill="1" applyBorder="1" applyAlignment="1">
      <alignment vertical="center" wrapText="1"/>
    </xf>
    <xf numFmtId="0" fontId="27" fillId="0" borderId="1" xfId="0" applyFont="1" applyBorder="1" applyAlignment="1" applyProtection="1">
      <alignment vertical="center" wrapText="1"/>
      <protection locked="0"/>
    </xf>
    <xf numFmtId="0" fontId="27" fillId="0" borderId="1" xfId="0" applyFont="1" applyBorder="1" applyAlignment="1">
      <alignment vertical="center" wrapText="1"/>
    </xf>
    <xf numFmtId="0" fontId="30" fillId="15" borderId="0" xfId="0" applyFont="1" applyFill="1" applyAlignment="1">
      <alignment horizontal="center" vertical="center"/>
    </xf>
    <xf numFmtId="0" fontId="28" fillId="8" borderId="0" xfId="0" applyFont="1" applyFill="1" applyAlignment="1">
      <alignment vertical="center" wrapText="1"/>
    </xf>
    <xf numFmtId="0" fontId="29" fillId="16" borderId="1" xfId="0" applyFont="1" applyFill="1" applyBorder="1" applyAlignment="1">
      <alignment vertical="center" wrapText="1"/>
    </xf>
    <xf numFmtId="0" fontId="30" fillId="14" borderId="0" xfId="0" applyFont="1" applyFill="1" applyAlignment="1">
      <alignment vertical="center"/>
    </xf>
    <xf numFmtId="0" fontId="30" fillId="6" borderId="0" xfId="0" applyFont="1" applyFill="1" applyAlignment="1">
      <alignment horizontal="center" vertical="center"/>
    </xf>
    <xf numFmtId="0" fontId="30" fillId="12" borderId="0" xfId="0" applyFont="1" applyFill="1" applyAlignment="1">
      <alignment vertical="center" wrapText="1"/>
    </xf>
    <xf numFmtId="0" fontId="30" fillId="13" borderId="0" xfId="0" applyFont="1" applyFill="1" applyAlignment="1">
      <alignment vertical="center"/>
    </xf>
    <xf numFmtId="0" fontId="30" fillId="6" borderId="0" xfId="0" applyFont="1" applyFill="1" applyAlignment="1">
      <alignment vertical="center"/>
    </xf>
    <xf numFmtId="0" fontId="30" fillId="14" borderId="0" xfId="0" applyFont="1" applyFill="1" applyAlignment="1">
      <alignment vertical="center" wrapText="1"/>
    </xf>
    <xf numFmtId="0" fontId="26" fillId="5" borderId="48" xfId="0" applyFont="1" applyFill="1" applyBorder="1" applyAlignment="1">
      <alignment horizontal="center" vertical="center"/>
    </xf>
    <xf numFmtId="0" fontId="25" fillId="4" borderId="4" xfId="0" applyFont="1" applyFill="1" applyBorder="1" applyAlignment="1">
      <alignment horizontal="center" vertical="center" wrapText="1"/>
    </xf>
    <xf numFmtId="0" fontId="28" fillId="0" borderId="1" xfId="0" applyFont="1" applyBorder="1" applyAlignment="1" applyProtection="1">
      <alignment horizontal="center" vertical="center"/>
      <protection locked="0"/>
    </xf>
    <xf numFmtId="0" fontId="29" fillId="0" borderId="1" xfId="0" applyFont="1" applyBorder="1" applyAlignment="1" applyProtection="1">
      <alignment horizontal="center" vertical="center"/>
      <protection locked="0"/>
    </xf>
    <xf numFmtId="0" fontId="29" fillId="8" borderId="4" xfId="0" applyFont="1" applyFill="1" applyBorder="1" applyAlignment="1" applyProtection="1">
      <alignment horizontal="center" vertical="center"/>
      <protection locked="0"/>
    </xf>
    <xf numFmtId="0" fontId="27" fillId="12" borderId="0" xfId="0" applyFont="1" applyFill="1" applyAlignment="1" applyProtection="1">
      <alignment horizontal="center" vertical="center"/>
      <protection locked="0"/>
    </xf>
    <xf numFmtId="0" fontId="0" fillId="0" borderId="10" xfId="0" applyBorder="1" applyAlignment="1">
      <alignment horizontal="center" vertical="center" wrapText="1"/>
    </xf>
    <xf numFmtId="0" fontId="0" fillId="0" borderId="10" xfId="0" applyBorder="1" applyAlignment="1">
      <alignment horizontal="left" vertical="center" wrapText="1"/>
    </xf>
    <xf numFmtId="0" fontId="25" fillId="0" borderId="8" xfId="0" applyFont="1" applyBorder="1" applyAlignment="1" applyProtection="1">
      <alignment horizontal="left" vertical="top" wrapText="1"/>
      <protection locked="0"/>
    </xf>
    <xf numFmtId="0" fontId="6" fillId="0" borderId="22" xfId="0" applyFont="1" applyBorder="1" applyAlignment="1" applyProtection="1">
      <alignment horizontal="left" vertical="center" wrapText="1"/>
      <protection locked="0"/>
    </xf>
    <xf numFmtId="0" fontId="6" fillId="0" borderId="23" xfId="0" applyFont="1" applyBorder="1" applyAlignment="1" applyProtection="1">
      <alignment horizontal="left" vertical="center" wrapText="1"/>
      <protection locked="0"/>
    </xf>
    <xf numFmtId="0" fontId="6" fillId="0" borderId="24" xfId="0" applyFont="1" applyBorder="1" applyAlignment="1" applyProtection="1">
      <alignment horizontal="left" vertical="center" wrapText="1"/>
      <protection locked="0"/>
    </xf>
    <xf numFmtId="0" fontId="2" fillId="9" borderId="17" xfId="0" applyFont="1" applyFill="1" applyBorder="1" applyAlignment="1">
      <alignment horizontal="center"/>
    </xf>
    <xf numFmtId="0" fontId="2" fillId="9" borderId="1" xfId="0" applyFont="1" applyFill="1" applyBorder="1" applyAlignment="1">
      <alignment horizontal="center"/>
    </xf>
    <xf numFmtId="0" fontId="2" fillId="9" borderId="18" xfId="0" applyFont="1" applyFill="1" applyBorder="1" applyAlignment="1">
      <alignment horizontal="center"/>
    </xf>
    <xf numFmtId="0" fontId="6" fillId="0" borderId="17" xfId="0" applyFont="1" applyBorder="1" applyAlignment="1">
      <alignment horizontal="center" vertical="center" wrapText="1"/>
    </xf>
    <xf numFmtId="0" fontId="6" fillId="0" borderId="1" xfId="0" applyFont="1" applyBorder="1" applyAlignment="1">
      <alignment horizontal="center" vertical="center" wrapText="1"/>
    </xf>
    <xf numFmtId="0" fontId="6" fillId="0" borderId="18" xfId="0" applyFont="1" applyBorder="1" applyAlignment="1">
      <alignment horizontal="center" vertical="center" wrapText="1"/>
    </xf>
    <xf numFmtId="0" fontId="6" fillId="0" borderId="17" xfId="0" applyFont="1" applyBorder="1" applyAlignment="1" applyProtection="1">
      <alignment horizontal="left" vertical="center" wrapText="1"/>
      <protection locked="0"/>
    </xf>
    <xf numFmtId="0" fontId="6" fillId="0" borderId="1" xfId="0" applyFont="1" applyBorder="1" applyAlignment="1" applyProtection="1">
      <alignment horizontal="left" vertical="center"/>
      <protection locked="0"/>
    </xf>
    <xf numFmtId="0" fontId="6" fillId="0" borderId="18" xfId="0" applyFont="1" applyBorder="1" applyAlignment="1" applyProtection="1">
      <alignment horizontal="left" vertical="center"/>
      <protection locked="0"/>
    </xf>
    <xf numFmtId="0" fontId="22" fillId="0" borderId="17" xfId="0" applyFont="1" applyBorder="1" applyAlignment="1">
      <alignment horizontal="left" vertical="center" wrapText="1"/>
    </xf>
    <xf numFmtId="0" fontId="6" fillId="0" borderId="1" xfId="0" applyFont="1" applyBorder="1" applyAlignment="1">
      <alignment horizontal="left" vertical="center"/>
    </xf>
    <xf numFmtId="0" fontId="6" fillId="0" borderId="18" xfId="0" applyFont="1" applyBorder="1" applyAlignment="1">
      <alignment horizontal="left" vertical="center"/>
    </xf>
    <xf numFmtId="0" fontId="3" fillId="10" borderId="17" xfId="0" applyFont="1" applyFill="1" applyBorder="1" applyAlignment="1">
      <alignment vertical="center" wrapText="1"/>
    </xf>
    <xf numFmtId="0" fontId="3" fillId="10" borderId="1" xfId="0" applyFont="1" applyFill="1" applyBorder="1" applyAlignment="1">
      <alignment vertical="center" wrapText="1"/>
    </xf>
    <xf numFmtId="0" fontId="3" fillId="3" borderId="13" xfId="0" applyFont="1" applyFill="1" applyBorder="1" applyAlignment="1">
      <alignment vertical="center" wrapText="1"/>
    </xf>
    <xf numFmtId="0" fontId="3" fillId="3" borderId="0" xfId="0" applyFont="1" applyFill="1" applyAlignment="1">
      <alignment vertical="center" wrapText="1"/>
    </xf>
    <xf numFmtId="0" fontId="4" fillId="0" borderId="0" xfId="0" applyFont="1"/>
    <xf numFmtId="0" fontId="4" fillId="0" borderId="12" xfId="0" applyFont="1" applyBorder="1"/>
    <xf numFmtId="0" fontId="5" fillId="0" borderId="13" xfId="0" applyFont="1" applyBorder="1" applyAlignment="1">
      <alignment horizontal="left"/>
    </xf>
    <xf numFmtId="0" fontId="5" fillId="0" borderId="0" xfId="0" applyFont="1" applyAlignment="1">
      <alignment horizontal="left"/>
    </xf>
    <xf numFmtId="0" fontId="5" fillId="0" borderId="12" xfId="0" applyFont="1" applyBorder="1" applyAlignment="1">
      <alignment horizontal="left"/>
    </xf>
    <xf numFmtId="0" fontId="4" fillId="0" borderId="1" xfId="0" applyFont="1" applyBorder="1"/>
    <xf numFmtId="0" fontId="4" fillId="0" borderId="18" xfId="0" applyFont="1" applyBorder="1"/>
    <xf numFmtId="0" fontId="9" fillId="8" borderId="17" xfId="0" applyFont="1" applyFill="1" applyBorder="1" applyAlignment="1">
      <alignment horizontal="left" vertical="center" wrapText="1"/>
    </xf>
    <xf numFmtId="0" fontId="9" fillId="8" borderId="1" xfId="0" applyFont="1" applyFill="1" applyBorder="1" applyAlignment="1">
      <alignment horizontal="left" vertical="center" wrapText="1"/>
    </xf>
    <xf numFmtId="0" fontId="4" fillId="0" borderId="3" xfId="0" applyFont="1" applyBorder="1" applyAlignment="1" applyProtection="1">
      <alignment horizontal="left" wrapText="1"/>
      <protection locked="0"/>
    </xf>
    <xf numFmtId="0" fontId="4" fillId="0" borderId="6" xfId="0" applyFont="1" applyBorder="1" applyAlignment="1" applyProtection="1">
      <alignment horizontal="left" wrapText="1"/>
      <protection locked="0"/>
    </xf>
    <xf numFmtId="0" fontId="4" fillId="0" borderId="19" xfId="0" applyFont="1" applyBorder="1" applyAlignment="1" applyProtection="1">
      <alignment horizontal="left" wrapText="1"/>
      <protection locked="0"/>
    </xf>
    <xf numFmtId="0" fontId="9" fillId="8" borderId="17" xfId="0" applyFont="1" applyFill="1" applyBorder="1" applyAlignment="1">
      <alignment vertical="center" wrapText="1"/>
    </xf>
    <xf numFmtId="0" fontId="9" fillId="8" borderId="1" xfId="0" applyFont="1" applyFill="1" applyBorder="1" applyAlignment="1">
      <alignment vertical="center" wrapText="1"/>
    </xf>
    <xf numFmtId="14" fontId="4" fillId="0" borderId="1" xfId="0" applyNumberFormat="1" applyFont="1" applyBorder="1" applyAlignment="1">
      <alignment horizontal="left" vertical="center"/>
    </xf>
    <xf numFmtId="14" fontId="4" fillId="0" borderId="18" xfId="0" applyNumberFormat="1" applyFont="1" applyBorder="1" applyAlignment="1">
      <alignment horizontal="left" vertical="center"/>
    </xf>
    <xf numFmtId="2" fontId="2" fillId="11" borderId="1" xfId="1" applyNumberFormat="1" applyFont="1" applyFill="1" applyBorder="1" applyAlignment="1" applyProtection="1">
      <alignment horizontal="center" vertical="center"/>
    </xf>
    <xf numFmtId="2" fontId="2" fillId="11" borderId="18" xfId="1" applyNumberFormat="1" applyFont="1" applyFill="1" applyBorder="1" applyAlignment="1" applyProtection="1">
      <alignment horizontal="center" vertical="center"/>
    </xf>
    <xf numFmtId="0" fontId="10" fillId="8" borderId="17" xfId="0" applyFont="1" applyFill="1" applyBorder="1" applyAlignment="1">
      <alignment horizontal="center" vertical="center"/>
    </xf>
    <xf numFmtId="0" fontId="10" fillId="8" borderId="1" xfId="0" applyFont="1" applyFill="1" applyBorder="1" applyAlignment="1">
      <alignment horizontal="center" vertical="center"/>
    </xf>
    <xf numFmtId="0" fontId="10" fillId="8" borderId="18" xfId="0" applyFont="1" applyFill="1" applyBorder="1" applyAlignment="1">
      <alignment horizontal="center" vertical="center"/>
    </xf>
    <xf numFmtId="0" fontId="4" fillId="0" borderId="1" xfId="0" applyFont="1" applyBorder="1" applyAlignment="1">
      <alignment horizontal="left" vertical="center"/>
    </xf>
    <xf numFmtId="0" fontId="4" fillId="0" borderId="18" xfId="0" applyFont="1" applyBorder="1" applyAlignment="1">
      <alignment horizontal="left" vertical="center"/>
    </xf>
    <xf numFmtId="14" fontId="4" fillId="0" borderId="3" xfId="0" applyNumberFormat="1" applyFont="1" applyBorder="1" applyAlignment="1" applyProtection="1">
      <alignment horizontal="left" wrapText="1"/>
      <protection locked="0"/>
    </xf>
    <xf numFmtId="14" fontId="4" fillId="0" borderId="6" xfId="0" applyNumberFormat="1" applyFont="1" applyBorder="1" applyAlignment="1" applyProtection="1">
      <alignment horizontal="left" wrapText="1"/>
      <protection locked="0"/>
    </xf>
    <xf numFmtId="14" fontId="4" fillId="0" borderId="19" xfId="0" applyNumberFormat="1" applyFont="1" applyBorder="1" applyAlignment="1" applyProtection="1">
      <alignment horizontal="left" wrapText="1"/>
      <protection locked="0"/>
    </xf>
    <xf numFmtId="0" fontId="17" fillId="0" borderId="25" xfId="0" applyFont="1" applyBorder="1" applyAlignment="1">
      <alignment horizontal="right"/>
    </xf>
    <xf numFmtId="0" fontId="17" fillId="0" borderId="26" xfId="0" applyFont="1" applyBorder="1" applyAlignment="1">
      <alignment horizontal="right"/>
    </xf>
    <xf numFmtId="0" fontId="17" fillId="0" borderId="27" xfId="0" applyFont="1" applyBorder="1" applyAlignment="1">
      <alignment horizontal="right"/>
    </xf>
    <xf numFmtId="0" fontId="8" fillId="8" borderId="17" xfId="0" applyFont="1" applyFill="1" applyBorder="1" applyAlignment="1">
      <alignment horizontal="center"/>
    </xf>
    <xf numFmtId="0" fontId="8" fillId="8" borderId="1" xfId="0" applyFont="1" applyFill="1" applyBorder="1" applyAlignment="1">
      <alignment horizontal="center"/>
    </xf>
    <xf numFmtId="0" fontId="8" fillId="8" borderId="18" xfId="0" applyFont="1" applyFill="1" applyBorder="1" applyAlignment="1">
      <alignment horizontal="center"/>
    </xf>
    <xf numFmtId="0" fontId="4" fillId="0" borderId="3" xfId="0" applyFont="1" applyBorder="1" applyAlignment="1" applyProtection="1">
      <alignment horizontal="center" vertical="center" wrapText="1"/>
      <protection locked="0"/>
    </xf>
    <xf numFmtId="0" fontId="4" fillId="0" borderId="6" xfId="0" applyFont="1" applyBorder="1" applyAlignment="1" applyProtection="1">
      <alignment horizontal="center" vertical="center" wrapText="1"/>
      <protection locked="0"/>
    </xf>
    <xf numFmtId="0" fontId="23" fillId="8" borderId="6" xfId="0" applyFont="1" applyFill="1" applyBorder="1" applyAlignment="1">
      <alignment horizontal="center" vertical="center" wrapText="1"/>
    </xf>
    <xf numFmtId="0" fontId="23" fillId="8" borderId="19" xfId="0" applyFont="1" applyFill="1" applyBorder="1" applyAlignment="1">
      <alignment horizontal="center" vertical="center" wrapText="1"/>
    </xf>
    <xf numFmtId="0" fontId="11" fillId="8" borderId="0" xfId="0" applyFont="1" applyFill="1" applyAlignment="1" applyProtection="1">
      <alignment horizontal="center" vertical="center"/>
      <protection hidden="1"/>
    </xf>
    <xf numFmtId="0" fontId="11" fillId="8" borderId="15" xfId="0" applyFont="1" applyFill="1" applyBorder="1" applyAlignment="1" applyProtection="1">
      <alignment horizontal="center" vertical="center"/>
      <protection hidden="1"/>
    </xf>
    <xf numFmtId="0" fontId="25" fillId="15" borderId="1" xfId="0" applyFont="1" applyFill="1" applyBorder="1" applyAlignment="1" applyProtection="1">
      <alignment horizontal="center" vertical="center" wrapText="1"/>
      <protection locked="0"/>
    </xf>
    <xf numFmtId="0" fontId="25" fillId="15" borderId="1" xfId="0" applyFont="1" applyFill="1" applyBorder="1" applyAlignment="1" applyProtection="1">
      <alignment vertical="center"/>
      <protection locked="0"/>
    </xf>
    <xf numFmtId="0" fontId="25" fillId="15" borderId="8" xfId="0" applyFont="1" applyFill="1" applyBorder="1" applyAlignment="1" applyProtection="1">
      <alignment horizontal="center" vertical="center"/>
      <protection locked="0"/>
    </xf>
    <xf numFmtId="0" fontId="25" fillId="15" borderId="2" xfId="0" applyFont="1" applyFill="1" applyBorder="1" applyAlignment="1" applyProtection="1">
      <alignment horizontal="center" vertical="center"/>
      <protection locked="0"/>
    </xf>
    <xf numFmtId="0" fontId="25" fillId="15" borderId="1" xfId="0" applyFont="1" applyFill="1" applyBorder="1" applyAlignment="1" applyProtection="1">
      <alignment horizontal="center" vertical="center"/>
      <protection locked="0"/>
    </xf>
    <xf numFmtId="0" fontId="25" fillId="5" borderId="8" xfId="0" applyFont="1" applyFill="1" applyBorder="1" applyAlignment="1">
      <alignment horizontal="center" vertical="center" wrapText="1"/>
    </xf>
    <xf numFmtId="0" fontId="25" fillId="5" borderId="2" xfId="0" applyFont="1" applyFill="1" applyBorder="1" applyAlignment="1">
      <alignment horizontal="center" vertical="center" wrapText="1"/>
    </xf>
    <xf numFmtId="0" fontId="25" fillId="15" borderId="9" xfId="0" applyFont="1" applyFill="1" applyBorder="1" applyAlignment="1" applyProtection="1">
      <alignment horizontal="center" vertical="center"/>
      <protection locked="0"/>
    </xf>
    <xf numFmtId="0" fontId="25" fillId="15" borderId="48" xfId="0" applyFont="1" applyFill="1" applyBorder="1" applyAlignment="1" applyProtection="1">
      <alignment horizontal="center" vertical="center"/>
      <protection locked="0"/>
    </xf>
    <xf numFmtId="0" fontId="25" fillId="15" borderId="6" xfId="0" applyFont="1" applyFill="1" applyBorder="1" applyAlignment="1" applyProtection="1">
      <alignment horizontal="center" vertical="center" wrapText="1"/>
      <protection locked="0"/>
    </xf>
    <xf numFmtId="0" fontId="25" fillId="15" borderId="5" xfId="0" applyFont="1" applyFill="1" applyBorder="1" applyAlignment="1" applyProtection="1">
      <alignment horizontal="center" vertical="center" wrapText="1"/>
      <protection locked="0"/>
    </xf>
    <xf numFmtId="0" fontId="26" fillId="15" borderId="1" xfId="0" applyFont="1" applyFill="1" applyBorder="1" applyAlignment="1" applyProtection="1">
      <alignment horizontal="center" vertical="center"/>
      <protection locked="0"/>
    </xf>
    <xf numFmtId="0" fontId="25" fillId="10" borderId="8" xfId="0" applyFont="1" applyFill="1" applyBorder="1" applyAlignment="1" applyProtection="1">
      <alignment horizontal="center" vertical="center" wrapText="1"/>
      <protection locked="0"/>
    </xf>
    <xf numFmtId="0" fontId="25" fillId="10" borderId="49" xfId="0" applyFont="1" applyFill="1" applyBorder="1" applyAlignment="1" applyProtection="1">
      <alignment horizontal="center" vertical="center" wrapText="1"/>
      <protection locked="0"/>
    </xf>
    <xf numFmtId="0" fontId="25" fillId="10" borderId="2" xfId="0" applyFont="1" applyFill="1" applyBorder="1" applyAlignment="1" applyProtection="1">
      <alignment horizontal="center" vertical="center" wrapText="1"/>
      <protection locked="0"/>
    </xf>
    <xf numFmtId="0" fontId="25" fillId="5" borderId="49" xfId="0" applyFont="1" applyFill="1" applyBorder="1" applyAlignment="1">
      <alignment horizontal="center" vertical="center" wrapText="1"/>
    </xf>
    <xf numFmtId="0" fontId="25" fillId="2" borderId="8" xfId="0" applyFont="1" applyFill="1" applyBorder="1" applyAlignment="1">
      <alignment horizontal="center" vertical="center"/>
    </xf>
    <xf numFmtId="0" fontId="25" fillId="2" borderId="2" xfId="0" applyFont="1" applyFill="1" applyBorder="1" applyAlignment="1">
      <alignment horizontal="center" vertical="center"/>
    </xf>
    <xf numFmtId="0" fontId="25" fillId="5" borderId="8" xfId="0" applyFont="1" applyFill="1" applyBorder="1" applyAlignment="1">
      <alignment horizontal="center" vertical="center"/>
    </xf>
    <xf numFmtId="0" fontId="25" fillId="5" borderId="2" xfId="0" applyFont="1" applyFill="1" applyBorder="1" applyAlignment="1">
      <alignment horizontal="center" vertical="center"/>
    </xf>
    <xf numFmtId="0" fontId="26" fillId="5" borderId="9" xfId="0" applyFont="1" applyFill="1" applyBorder="1" applyAlignment="1">
      <alignment horizontal="center" vertical="center"/>
    </xf>
    <xf numFmtId="0" fontId="26" fillId="5" borderId="4" xfId="0" applyFont="1" applyFill="1" applyBorder="1" applyAlignment="1">
      <alignment horizontal="center" vertical="center"/>
    </xf>
    <xf numFmtId="0" fontId="11" fillId="5" borderId="48" xfId="0" applyFont="1" applyFill="1" applyBorder="1" applyAlignment="1">
      <alignment horizontal="center" vertical="center" wrapText="1"/>
    </xf>
    <xf numFmtId="0" fontId="11" fillId="5" borderId="7" xfId="0" applyFont="1" applyFill="1" applyBorder="1" applyAlignment="1">
      <alignment horizontal="center" vertical="center" wrapText="1"/>
    </xf>
    <xf numFmtId="0" fontId="12" fillId="8" borderId="16" xfId="0" applyFont="1" applyFill="1" applyBorder="1" applyAlignment="1" applyProtection="1">
      <alignment horizontal="center" vertical="center"/>
      <protection hidden="1"/>
    </xf>
    <xf numFmtId="0" fontId="12" fillId="8" borderId="11" xfId="0" applyFont="1" applyFill="1" applyBorder="1" applyAlignment="1" applyProtection="1">
      <alignment horizontal="center" vertical="center"/>
      <protection hidden="1"/>
    </xf>
    <xf numFmtId="2" fontId="13" fillId="17" borderId="45" xfId="0" applyNumberFormat="1" applyFont="1" applyFill="1" applyBorder="1" applyAlignment="1" applyProtection="1">
      <alignment horizontal="center" vertical="center" wrapText="1"/>
      <protection hidden="1"/>
    </xf>
    <xf numFmtId="2" fontId="13" fillId="17" borderId="28" xfId="0" applyNumberFormat="1" applyFont="1" applyFill="1" applyBorder="1" applyAlignment="1" applyProtection="1">
      <alignment horizontal="center" vertical="center" wrapText="1"/>
      <protection hidden="1"/>
    </xf>
    <xf numFmtId="0" fontId="13" fillId="17" borderId="46" xfId="0" applyFont="1" applyFill="1" applyBorder="1" applyAlignment="1" applyProtection="1">
      <alignment horizontal="center" vertical="center"/>
      <protection hidden="1"/>
    </xf>
    <xf numFmtId="0" fontId="13" fillId="17" borderId="47" xfId="0" applyFont="1" applyFill="1" applyBorder="1" applyAlignment="1" applyProtection="1">
      <alignment horizontal="center" vertical="center"/>
      <protection hidden="1"/>
    </xf>
    <xf numFmtId="0" fontId="8" fillId="8" borderId="3" xfId="0" applyFont="1" applyFill="1" applyBorder="1" applyAlignment="1">
      <alignment horizontal="center" vertical="center"/>
    </xf>
    <xf numFmtId="0" fontId="8" fillId="8" borderId="6" xfId="0" applyFont="1" applyFill="1" applyBorder="1" applyAlignment="1">
      <alignment horizontal="center" vertical="center"/>
    </xf>
    <xf numFmtId="0" fontId="8" fillId="8" borderId="5" xfId="0" applyFont="1" applyFill="1" applyBorder="1" applyAlignment="1">
      <alignment horizontal="center" vertical="center"/>
    </xf>
    <xf numFmtId="0" fontId="8" fillId="8" borderId="3" xfId="0" applyFont="1" applyFill="1" applyBorder="1" applyAlignment="1">
      <alignment horizontal="center"/>
    </xf>
    <xf numFmtId="0" fontId="8" fillId="8" borderId="6" xfId="0" applyFont="1" applyFill="1" applyBorder="1" applyAlignment="1">
      <alignment horizontal="center"/>
    </xf>
    <xf numFmtId="0" fontId="8" fillId="8" borderId="5" xfId="0" applyFont="1" applyFill="1" applyBorder="1" applyAlignment="1">
      <alignment horizontal="center"/>
    </xf>
    <xf numFmtId="0" fontId="18" fillId="24" borderId="44" xfId="0" applyFont="1" applyFill="1" applyBorder="1" applyAlignment="1">
      <alignment horizontal="center" vertical="center" wrapText="1"/>
    </xf>
    <xf numFmtId="0" fontId="18" fillId="24" borderId="42" xfId="0" applyFont="1" applyFill="1" applyBorder="1" applyAlignment="1">
      <alignment horizontal="center" vertical="center" wrapText="1"/>
    </xf>
    <xf numFmtId="0" fontId="18" fillId="24" borderId="43" xfId="0" applyFont="1" applyFill="1" applyBorder="1" applyAlignment="1">
      <alignment horizontal="center" vertical="center" wrapText="1"/>
    </xf>
    <xf numFmtId="0" fontId="19" fillId="7" borderId="29" xfId="0" applyFont="1" applyFill="1" applyBorder="1" applyAlignment="1">
      <alignment horizontal="center" vertical="center"/>
    </xf>
    <xf numFmtId="0" fontId="19" fillId="7" borderId="30" xfId="0" applyFont="1" applyFill="1" applyBorder="1" applyAlignment="1">
      <alignment horizontal="center" vertical="center"/>
    </xf>
    <xf numFmtId="0" fontId="19" fillId="7" borderId="31" xfId="0" applyFont="1" applyFill="1" applyBorder="1" applyAlignment="1">
      <alignment horizontal="center" vertical="center"/>
    </xf>
    <xf numFmtId="0" fontId="21" fillId="20" borderId="29" xfId="0" applyFont="1" applyFill="1" applyBorder="1" applyAlignment="1">
      <alignment horizontal="center" vertical="center"/>
    </xf>
    <xf numFmtId="0" fontId="21" fillId="20" borderId="32" xfId="0" applyFont="1" applyFill="1" applyBorder="1" applyAlignment="1">
      <alignment horizontal="center" vertical="center"/>
    </xf>
    <xf numFmtId="0" fontId="21" fillId="20" borderId="30" xfId="0" applyFont="1" applyFill="1" applyBorder="1" applyAlignment="1">
      <alignment horizontal="center" vertical="center"/>
    </xf>
    <xf numFmtId="0" fontId="21" fillId="20" borderId="10" xfId="0" applyFont="1" applyFill="1" applyBorder="1" applyAlignment="1">
      <alignment horizontal="center" vertical="center"/>
    </xf>
    <xf numFmtId="0" fontId="21" fillId="21" borderId="38" xfId="0" applyFont="1" applyFill="1" applyBorder="1" applyAlignment="1">
      <alignment horizontal="center" vertical="center"/>
    </xf>
    <xf numFmtId="0" fontId="21" fillId="21" borderId="30" xfId="0" applyFont="1" applyFill="1" applyBorder="1" applyAlignment="1">
      <alignment horizontal="center" vertical="center"/>
    </xf>
    <xf numFmtId="0" fontId="21" fillId="21" borderId="31" xfId="0" applyFont="1" applyFill="1" applyBorder="1" applyAlignment="1">
      <alignment horizontal="center" vertical="center"/>
    </xf>
    <xf numFmtId="0" fontId="21" fillId="21" borderId="28" xfId="0" applyFont="1" applyFill="1" applyBorder="1" applyAlignment="1">
      <alignment horizontal="center" vertical="center"/>
    </xf>
    <xf numFmtId="0" fontId="21" fillId="21" borderId="10" xfId="0" applyFont="1" applyFill="1" applyBorder="1" applyAlignment="1">
      <alignment horizontal="center" vertical="center"/>
    </xf>
    <xf numFmtId="0" fontId="21" fillId="21" borderId="33" xfId="0" applyFont="1" applyFill="1" applyBorder="1" applyAlignment="1">
      <alignment horizontal="center" vertical="center"/>
    </xf>
    <xf numFmtId="0" fontId="27" fillId="3" borderId="1" xfId="0" applyFont="1" applyFill="1" applyBorder="1" applyAlignment="1" applyProtection="1">
      <alignment horizontal="center" vertical="center"/>
    </xf>
  </cellXfs>
  <cellStyles count="15">
    <cellStyle name="Heading" xfId="4" xr:uid="{0DD9D608-14D0-4C85-9677-C43EAA96D09E}"/>
    <cellStyle name="Heading1" xfId="5" xr:uid="{F361DA1A-5EA2-41E2-80D8-A60154A2872A}"/>
    <cellStyle name="Moeda 2" xfId="6" xr:uid="{D54B9B98-EB72-482E-9738-793DD6504FBD}"/>
    <cellStyle name="Moeda 3" xfId="13" xr:uid="{A8A3EE70-BA81-4649-8F15-83D75940595E}"/>
    <cellStyle name="Normal" xfId="0" builtinId="0"/>
    <cellStyle name="Normal 2" xfId="7" xr:uid="{8B39773A-0C39-4424-BEF2-D6EC765E6CA1}"/>
    <cellStyle name="Normal 3" xfId="8" xr:uid="{36C62C8A-6E9F-4467-B51F-163B316EA1B7}"/>
    <cellStyle name="Normal 4" xfId="9" xr:uid="{68EF15D9-95CF-4DC6-A112-B8DC0CF2D2EC}"/>
    <cellStyle name="Normal 4 2" xfId="14" xr:uid="{34C2A0B6-17CB-42BD-B60E-443FC88BCA09}"/>
    <cellStyle name="Normal 5" xfId="3" xr:uid="{FD14D001-B2BF-4BDD-99EC-A1599ACA1BE3}"/>
    <cellStyle name="Porcentagem" xfId="2" builtinId="5"/>
    <cellStyle name="Result" xfId="10" xr:uid="{9FDF4C67-00D2-4F99-A1C3-AFF319DB73B1}"/>
    <cellStyle name="Result2" xfId="11" xr:uid="{A29A900C-1F35-442D-87F1-65B9697FAB98}"/>
    <cellStyle name="Título 1 1" xfId="12" xr:uid="{2BA61541-C7B6-4885-BEA7-D44C1B9E005F}"/>
    <cellStyle name="Vírgula" xfId="1" builtinId="3"/>
  </cellStyles>
  <dxfs count="4">
    <dxf>
      <font>
        <b val="0"/>
        <i val="0"/>
        <strike val="0"/>
        <outline val="0"/>
        <shadow val="0"/>
        <u val="none"/>
        <color rgb="FF000000"/>
        <name val="Calibri"/>
      </font>
      <numFmt numFmtId="13" formatCode="0%"/>
      <fill>
        <patternFill>
          <bgColor rgb="FFFFFFFF"/>
        </patternFill>
      </fill>
    </dxf>
    <dxf>
      <font>
        <b val="0"/>
        <i val="0"/>
        <strike val="0"/>
        <outline val="0"/>
        <shadow val="0"/>
        <u val="none"/>
        <color rgb="FF000000"/>
        <name val="Calibri"/>
      </font>
      <numFmt numFmtId="13" formatCode="0%"/>
      <fill>
        <patternFill>
          <bgColor rgb="FFFFFFFF"/>
        </patternFill>
      </fill>
    </dxf>
    <dxf>
      <font>
        <color rgb="FF002060"/>
      </font>
    </dxf>
    <dxf>
      <font>
        <color rgb="FFD20000"/>
      </font>
    </dxf>
  </dxfs>
  <tableStyles count="1" defaultTableStyle="TableStyleMedium2" defaultPivotStyle="PivotStyleLight16">
    <tableStyle name="Estilo de Tabela Dinâmica 1" table="0" count="0" xr9:uid="{696A23D6-2B44-48F4-8801-4390D2B79B13}"/>
  </tableStyle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2F2F2"/>
      <rgbColor rgb="FFDCE6F2"/>
      <rgbColor rgb="FF660066"/>
      <rgbColor rgb="FFFF8080"/>
      <rgbColor rgb="FF0066CC"/>
      <rgbColor rgb="FFC6D9F1"/>
      <rgbColor rgb="FF000080"/>
      <rgbColor rgb="FFFF00FF"/>
      <rgbColor rgb="FFFFFF00"/>
      <rgbColor rgb="FF00FFFF"/>
      <rgbColor rgb="FF800080"/>
      <rgbColor rgb="FF800000"/>
      <rgbColor rgb="FF008080"/>
      <rgbColor rgb="FF0000FF"/>
      <rgbColor rgb="FF00B0F0"/>
      <rgbColor rgb="FFF2DCDB"/>
      <rgbColor rgb="FFEEECE1"/>
      <rgbColor rgb="FFFFFF99"/>
      <rgbColor rgb="FFB7DEE8"/>
      <rgbColor rgb="FFFF99CC"/>
      <rgbColor rgb="FFBFBFBF"/>
      <rgbColor rgb="FFE6B9B8"/>
      <rgbColor rgb="FF3366FF"/>
      <rgbColor rgb="FF33CCCC"/>
      <rgbColor rgb="FF92D050"/>
      <rgbColor rgb="FFFFCC00"/>
      <rgbColor rgb="FFFF9900"/>
      <rgbColor rgb="FFFF6600"/>
      <rgbColor rgb="FF376092"/>
      <rgbColor rgb="FFA6A6A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mruColors>
      <color rgb="FFD2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onnections" Target="connections.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customXml" Target="../customXml/item4.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15</xdr:col>
      <xdr:colOff>524407</xdr:colOff>
      <xdr:row>45</xdr:row>
      <xdr:rowOff>120736</xdr:rowOff>
    </xdr:to>
    <xdr:sp macro="" textlink="">
      <xdr:nvSpPr>
        <xdr:cNvPr id="2" name="CustomShape 1" hidden="1">
          <a:extLst>
            <a:ext uri="{FF2B5EF4-FFF2-40B4-BE49-F238E27FC236}">
              <a16:creationId xmlns:a16="http://schemas.microsoft.com/office/drawing/2014/main" id="{00000000-0008-0000-0100-000002000000}"/>
            </a:ext>
          </a:extLst>
        </xdr:cNvPr>
        <xdr:cNvSpPr/>
      </xdr:nvSpPr>
      <xdr:spPr>
        <a:xfrm>
          <a:off x="0" y="0"/>
          <a:ext cx="9974160" cy="9505440"/>
        </a:xfrm>
        <a:prstGeom prst="rect">
          <a:avLst/>
        </a:prstGeom>
        <a:solidFill>
          <a:srgbClr val="FFFFFF"/>
        </a:solidFill>
        <a:ln w="9360">
          <a:solidFill>
            <a:srgbClr val="000000"/>
          </a:solidFill>
          <a:miter/>
        </a:ln>
      </xdr:spPr>
      <xdr:style>
        <a:lnRef idx="0">
          <a:scrgbClr r="0" g="0" b="0"/>
        </a:lnRef>
        <a:fillRef idx="0">
          <a:scrgbClr r="0" g="0" b="0"/>
        </a:fillRef>
        <a:effectRef idx="0">
          <a:scrgbClr r="0" g="0" b="0"/>
        </a:effectRef>
        <a:fontRef idx="minor"/>
      </xdr:style>
    </xdr:sp>
    <xdr:clientData/>
  </xdr:twoCellAnchor>
  <xdr:twoCellAnchor editAs="oneCell">
    <xdr:from>
      <xdr:col>0</xdr:col>
      <xdr:colOff>0</xdr:colOff>
      <xdr:row>0</xdr:row>
      <xdr:rowOff>0</xdr:rowOff>
    </xdr:from>
    <xdr:to>
      <xdr:col>15</xdr:col>
      <xdr:colOff>524407</xdr:colOff>
      <xdr:row>45</xdr:row>
      <xdr:rowOff>120736</xdr:rowOff>
    </xdr:to>
    <xdr:sp macro="" textlink="">
      <xdr:nvSpPr>
        <xdr:cNvPr id="3" name="CustomShape 1" hidden="1">
          <a:extLst>
            <a:ext uri="{FF2B5EF4-FFF2-40B4-BE49-F238E27FC236}">
              <a16:creationId xmlns:a16="http://schemas.microsoft.com/office/drawing/2014/main" id="{00000000-0008-0000-0100-000003000000}"/>
            </a:ext>
          </a:extLst>
        </xdr:cNvPr>
        <xdr:cNvSpPr/>
      </xdr:nvSpPr>
      <xdr:spPr>
        <a:xfrm>
          <a:off x="0" y="0"/>
          <a:ext cx="9974160" cy="9505440"/>
        </a:xfrm>
        <a:prstGeom prst="rect">
          <a:avLst/>
        </a:prstGeom>
        <a:solidFill>
          <a:srgbClr val="FFFFFF"/>
        </a:solidFill>
        <a:ln w="9360">
          <a:solidFill>
            <a:srgbClr val="000000"/>
          </a:solidFill>
          <a:miter/>
        </a:ln>
      </xdr:spPr>
      <xdr:style>
        <a:lnRef idx="0">
          <a:scrgbClr r="0" g="0" b="0"/>
        </a:lnRef>
        <a:fillRef idx="0">
          <a:scrgbClr r="0" g="0" b="0"/>
        </a:fillRef>
        <a:effectRef idx="0">
          <a:scrgbClr r="0" g="0" b="0"/>
        </a:effectRef>
        <a:fontRef idx="minor"/>
      </xdr:style>
    </xdr:sp>
    <xdr:clientData/>
  </xdr:twoCellAnchor>
  <xdr:twoCellAnchor editAs="oneCell">
    <xdr:from>
      <xdr:col>0</xdr:col>
      <xdr:colOff>0</xdr:colOff>
      <xdr:row>0</xdr:row>
      <xdr:rowOff>0</xdr:rowOff>
    </xdr:from>
    <xdr:to>
      <xdr:col>15</xdr:col>
      <xdr:colOff>524407</xdr:colOff>
      <xdr:row>45</xdr:row>
      <xdr:rowOff>120736</xdr:rowOff>
    </xdr:to>
    <xdr:sp macro="" textlink="">
      <xdr:nvSpPr>
        <xdr:cNvPr id="4" name="CustomShape 1" hidden="1">
          <a:extLst>
            <a:ext uri="{FF2B5EF4-FFF2-40B4-BE49-F238E27FC236}">
              <a16:creationId xmlns:a16="http://schemas.microsoft.com/office/drawing/2014/main" id="{00000000-0008-0000-0100-000004000000}"/>
            </a:ext>
          </a:extLst>
        </xdr:cNvPr>
        <xdr:cNvSpPr/>
      </xdr:nvSpPr>
      <xdr:spPr>
        <a:xfrm>
          <a:off x="0" y="0"/>
          <a:ext cx="9974160" cy="9505440"/>
        </a:xfrm>
        <a:prstGeom prst="rect">
          <a:avLst/>
        </a:prstGeom>
        <a:solidFill>
          <a:srgbClr val="FFFFFF"/>
        </a:solidFill>
        <a:ln w="9360">
          <a:solidFill>
            <a:srgbClr val="000000"/>
          </a:solidFill>
          <a:miter/>
        </a:ln>
      </xdr:spPr>
      <xdr:style>
        <a:lnRef idx="0">
          <a:scrgbClr r="0" g="0" b="0"/>
        </a:lnRef>
        <a:fillRef idx="0">
          <a:scrgbClr r="0" g="0" b="0"/>
        </a:fillRef>
        <a:effectRef idx="0">
          <a:scrgbClr r="0" g="0" b="0"/>
        </a:effectRef>
        <a:fontRef idx="minor"/>
      </xdr:style>
    </xdr:sp>
    <xdr:clientData/>
  </xdr:twoCellAnchor>
  <xdr:twoCellAnchor editAs="oneCell">
    <xdr:from>
      <xdr:col>0</xdr:col>
      <xdr:colOff>0</xdr:colOff>
      <xdr:row>0</xdr:row>
      <xdr:rowOff>0</xdr:rowOff>
    </xdr:from>
    <xdr:to>
      <xdr:col>15</xdr:col>
      <xdr:colOff>524407</xdr:colOff>
      <xdr:row>45</xdr:row>
      <xdr:rowOff>120736</xdr:rowOff>
    </xdr:to>
    <xdr:sp macro="" textlink="">
      <xdr:nvSpPr>
        <xdr:cNvPr id="5" name="CustomShape 1" hidden="1">
          <a:extLst>
            <a:ext uri="{FF2B5EF4-FFF2-40B4-BE49-F238E27FC236}">
              <a16:creationId xmlns:a16="http://schemas.microsoft.com/office/drawing/2014/main" id="{00000000-0008-0000-0100-000005000000}"/>
            </a:ext>
          </a:extLst>
        </xdr:cNvPr>
        <xdr:cNvSpPr/>
      </xdr:nvSpPr>
      <xdr:spPr>
        <a:xfrm>
          <a:off x="0" y="0"/>
          <a:ext cx="9974160" cy="9505440"/>
        </a:xfrm>
        <a:prstGeom prst="rect">
          <a:avLst/>
        </a:prstGeom>
        <a:solidFill>
          <a:srgbClr val="FFFFFF"/>
        </a:solidFill>
        <a:ln w="9360">
          <a:solidFill>
            <a:srgbClr val="000000"/>
          </a:solidFill>
          <a:miter/>
        </a:ln>
      </xdr:spPr>
      <xdr:style>
        <a:lnRef idx="0">
          <a:scrgbClr r="0" g="0" b="0"/>
        </a:lnRef>
        <a:fillRef idx="0">
          <a:scrgbClr r="0" g="0" b="0"/>
        </a:fillRef>
        <a:effectRef idx="0">
          <a:scrgbClr r="0" g="0" b="0"/>
        </a:effectRef>
        <a:fontRef idx="minor"/>
      </xdr:style>
    </xdr:sp>
    <xdr:clientData/>
  </xdr:twoCellAnchor>
  <xdr:twoCellAnchor editAs="oneCell">
    <xdr:from>
      <xdr:col>0</xdr:col>
      <xdr:colOff>0</xdr:colOff>
      <xdr:row>0</xdr:row>
      <xdr:rowOff>0</xdr:rowOff>
    </xdr:from>
    <xdr:to>
      <xdr:col>15</xdr:col>
      <xdr:colOff>524407</xdr:colOff>
      <xdr:row>45</xdr:row>
      <xdr:rowOff>120736</xdr:rowOff>
    </xdr:to>
    <xdr:sp macro="" textlink="">
      <xdr:nvSpPr>
        <xdr:cNvPr id="6" name="CustomShape 1" hidden="1">
          <a:extLst>
            <a:ext uri="{FF2B5EF4-FFF2-40B4-BE49-F238E27FC236}">
              <a16:creationId xmlns:a16="http://schemas.microsoft.com/office/drawing/2014/main" id="{00000000-0008-0000-0100-000006000000}"/>
            </a:ext>
          </a:extLst>
        </xdr:cNvPr>
        <xdr:cNvSpPr/>
      </xdr:nvSpPr>
      <xdr:spPr>
        <a:xfrm>
          <a:off x="0" y="0"/>
          <a:ext cx="9974160" cy="9505440"/>
        </a:xfrm>
        <a:prstGeom prst="rect">
          <a:avLst/>
        </a:prstGeom>
        <a:solidFill>
          <a:srgbClr val="FFFFFF"/>
        </a:solidFill>
        <a:ln w="9360">
          <a:solidFill>
            <a:srgbClr val="000000"/>
          </a:solidFill>
          <a:miter/>
        </a:ln>
      </xdr:spPr>
      <xdr:style>
        <a:lnRef idx="0">
          <a:scrgbClr r="0" g="0" b="0"/>
        </a:lnRef>
        <a:fillRef idx="0">
          <a:scrgbClr r="0" g="0" b="0"/>
        </a:fillRef>
        <a:effectRef idx="0">
          <a:scrgbClr r="0" g="0" b="0"/>
        </a:effectRef>
        <a:fontRef idx="minor"/>
      </xdr:style>
    </xdr:sp>
    <xdr:clientData/>
  </xdr:twoCellAnchor>
  <xdr:twoCellAnchor editAs="oneCell">
    <xdr:from>
      <xdr:col>0</xdr:col>
      <xdr:colOff>0</xdr:colOff>
      <xdr:row>0</xdr:row>
      <xdr:rowOff>0</xdr:rowOff>
    </xdr:from>
    <xdr:to>
      <xdr:col>15</xdr:col>
      <xdr:colOff>524407</xdr:colOff>
      <xdr:row>45</xdr:row>
      <xdr:rowOff>120736</xdr:rowOff>
    </xdr:to>
    <xdr:sp macro="" textlink="">
      <xdr:nvSpPr>
        <xdr:cNvPr id="7" name="CustomShape 1" hidden="1">
          <a:extLst>
            <a:ext uri="{FF2B5EF4-FFF2-40B4-BE49-F238E27FC236}">
              <a16:creationId xmlns:a16="http://schemas.microsoft.com/office/drawing/2014/main" id="{00000000-0008-0000-0100-000007000000}"/>
            </a:ext>
          </a:extLst>
        </xdr:cNvPr>
        <xdr:cNvSpPr/>
      </xdr:nvSpPr>
      <xdr:spPr>
        <a:xfrm>
          <a:off x="0" y="0"/>
          <a:ext cx="9974160" cy="9505440"/>
        </a:xfrm>
        <a:prstGeom prst="rect">
          <a:avLst/>
        </a:prstGeom>
        <a:solidFill>
          <a:srgbClr val="FFFFFF"/>
        </a:solidFill>
        <a:ln w="9360">
          <a:solidFill>
            <a:srgbClr val="000000"/>
          </a:solidFill>
          <a:miter/>
        </a:ln>
      </xdr:spPr>
      <xdr:style>
        <a:lnRef idx="0">
          <a:scrgbClr r="0" g="0" b="0"/>
        </a:lnRef>
        <a:fillRef idx="0">
          <a:scrgbClr r="0" g="0" b="0"/>
        </a:fillRef>
        <a:effectRef idx="0">
          <a:scrgbClr r="0" g="0" b="0"/>
        </a:effectRef>
        <a:fontRef idx="minor"/>
      </xdr:style>
    </xdr:sp>
    <xdr:clientData/>
  </xdr:twoCellAnchor>
  <xdr:twoCellAnchor editAs="oneCell">
    <xdr:from>
      <xdr:col>0</xdr:col>
      <xdr:colOff>0</xdr:colOff>
      <xdr:row>0</xdr:row>
      <xdr:rowOff>0</xdr:rowOff>
    </xdr:from>
    <xdr:to>
      <xdr:col>15</xdr:col>
      <xdr:colOff>524407</xdr:colOff>
      <xdr:row>45</xdr:row>
      <xdr:rowOff>120736</xdr:rowOff>
    </xdr:to>
    <xdr:sp macro="" textlink="">
      <xdr:nvSpPr>
        <xdr:cNvPr id="8" name="CustomShape 1" hidden="1">
          <a:extLst>
            <a:ext uri="{FF2B5EF4-FFF2-40B4-BE49-F238E27FC236}">
              <a16:creationId xmlns:a16="http://schemas.microsoft.com/office/drawing/2014/main" id="{00000000-0008-0000-0100-000008000000}"/>
            </a:ext>
          </a:extLst>
        </xdr:cNvPr>
        <xdr:cNvSpPr/>
      </xdr:nvSpPr>
      <xdr:spPr>
        <a:xfrm>
          <a:off x="0" y="0"/>
          <a:ext cx="9974160" cy="9505440"/>
        </a:xfrm>
        <a:prstGeom prst="rect">
          <a:avLst/>
        </a:prstGeom>
        <a:solidFill>
          <a:srgbClr val="FFFFFF"/>
        </a:solidFill>
        <a:ln w="9360">
          <a:solidFill>
            <a:srgbClr val="000000"/>
          </a:solidFill>
          <a:miter/>
        </a:ln>
      </xdr:spPr>
      <xdr:style>
        <a:lnRef idx="0">
          <a:scrgbClr r="0" g="0" b="0"/>
        </a:lnRef>
        <a:fillRef idx="0">
          <a:scrgbClr r="0" g="0" b="0"/>
        </a:fillRef>
        <a:effectRef idx="0">
          <a:scrgbClr r="0" g="0" b="0"/>
        </a:effectRef>
        <a:fontRef idx="minor"/>
      </xdr:style>
    </xdr:sp>
    <xdr:clientData/>
  </xdr:twoCellAnchor>
  <xdr:twoCellAnchor editAs="oneCell">
    <xdr:from>
      <xdr:col>0</xdr:col>
      <xdr:colOff>0</xdr:colOff>
      <xdr:row>0</xdr:row>
      <xdr:rowOff>0</xdr:rowOff>
    </xdr:from>
    <xdr:to>
      <xdr:col>15</xdr:col>
      <xdr:colOff>524407</xdr:colOff>
      <xdr:row>45</xdr:row>
      <xdr:rowOff>120736</xdr:rowOff>
    </xdr:to>
    <xdr:sp macro="" textlink="">
      <xdr:nvSpPr>
        <xdr:cNvPr id="9" name="CustomShape 1" hidden="1">
          <a:extLst>
            <a:ext uri="{FF2B5EF4-FFF2-40B4-BE49-F238E27FC236}">
              <a16:creationId xmlns:a16="http://schemas.microsoft.com/office/drawing/2014/main" id="{00000000-0008-0000-0100-000009000000}"/>
            </a:ext>
          </a:extLst>
        </xdr:cNvPr>
        <xdr:cNvSpPr/>
      </xdr:nvSpPr>
      <xdr:spPr>
        <a:xfrm>
          <a:off x="0" y="0"/>
          <a:ext cx="9974160" cy="9505440"/>
        </a:xfrm>
        <a:prstGeom prst="rect">
          <a:avLst/>
        </a:prstGeom>
        <a:solidFill>
          <a:srgbClr val="FFFFFF"/>
        </a:solidFill>
        <a:ln w="9360">
          <a:solidFill>
            <a:srgbClr val="000000"/>
          </a:solidFill>
          <a:miter/>
        </a:ln>
      </xdr:spPr>
      <xdr:style>
        <a:lnRef idx="0">
          <a:scrgbClr r="0" g="0" b="0"/>
        </a:lnRef>
        <a:fillRef idx="0">
          <a:scrgbClr r="0" g="0" b="0"/>
        </a:fillRef>
        <a:effectRef idx="0">
          <a:scrgbClr r="0" g="0" b="0"/>
        </a:effectRef>
        <a:fontRef idx="minor"/>
      </xdr:style>
    </xdr:sp>
    <xdr:clientData/>
  </xdr:twoCellAnchor>
  <xdr:twoCellAnchor editAs="oneCell">
    <xdr:from>
      <xdr:col>0</xdr:col>
      <xdr:colOff>0</xdr:colOff>
      <xdr:row>0</xdr:row>
      <xdr:rowOff>0</xdr:rowOff>
    </xdr:from>
    <xdr:to>
      <xdr:col>15</xdr:col>
      <xdr:colOff>524407</xdr:colOff>
      <xdr:row>45</xdr:row>
      <xdr:rowOff>120736</xdr:rowOff>
    </xdr:to>
    <xdr:sp macro="" textlink="">
      <xdr:nvSpPr>
        <xdr:cNvPr id="10" name="CustomShape 1" hidden="1">
          <a:extLst>
            <a:ext uri="{FF2B5EF4-FFF2-40B4-BE49-F238E27FC236}">
              <a16:creationId xmlns:a16="http://schemas.microsoft.com/office/drawing/2014/main" id="{00000000-0008-0000-0100-00000A000000}"/>
            </a:ext>
          </a:extLst>
        </xdr:cNvPr>
        <xdr:cNvSpPr/>
      </xdr:nvSpPr>
      <xdr:spPr>
        <a:xfrm>
          <a:off x="0" y="0"/>
          <a:ext cx="9974160" cy="9505440"/>
        </a:xfrm>
        <a:prstGeom prst="rect">
          <a:avLst/>
        </a:prstGeom>
        <a:solidFill>
          <a:srgbClr val="FFFFFF"/>
        </a:solidFill>
        <a:ln w="9360">
          <a:solidFill>
            <a:srgbClr val="000000"/>
          </a:solidFill>
          <a:miter/>
        </a:ln>
      </xdr:spPr>
      <xdr:style>
        <a:lnRef idx="0">
          <a:scrgbClr r="0" g="0" b="0"/>
        </a:lnRef>
        <a:fillRef idx="0">
          <a:scrgbClr r="0" g="0" b="0"/>
        </a:fillRef>
        <a:effectRef idx="0">
          <a:scrgbClr r="0" g="0" b="0"/>
        </a:effectRef>
        <a:fontRef idx="minor"/>
      </xdr:style>
    </xdr:sp>
    <xdr:clientData/>
  </xdr:twoCellAnchor>
  <xdr:twoCellAnchor editAs="oneCell">
    <xdr:from>
      <xdr:col>0</xdr:col>
      <xdr:colOff>0</xdr:colOff>
      <xdr:row>0</xdr:row>
      <xdr:rowOff>0</xdr:rowOff>
    </xdr:from>
    <xdr:to>
      <xdr:col>15</xdr:col>
      <xdr:colOff>524407</xdr:colOff>
      <xdr:row>45</xdr:row>
      <xdr:rowOff>120736</xdr:rowOff>
    </xdr:to>
    <xdr:sp macro="" textlink="">
      <xdr:nvSpPr>
        <xdr:cNvPr id="11" name="CustomShape 1" hidden="1">
          <a:extLst>
            <a:ext uri="{FF2B5EF4-FFF2-40B4-BE49-F238E27FC236}">
              <a16:creationId xmlns:a16="http://schemas.microsoft.com/office/drawing/2014/main" id="{00000000-0008-0000-0100-00000B000000}"/>
            </a:ext>
          </a:extLst>
        </xdr:cNvPr>
        <xdr:cNvSpPr/>
      </xdr:nvSpPr>
      <xdr:spPr>
        <a:xfrm>
          <a:off x="0" y="0"/>
          <a:ext cx="9974160" cy="9505440"/>
        </a:xfrm>
        <a:prstGeom prst="rect">
          <a:avLst/>
        </a:prstGeom>
        <a:solidFill>
          <a:srgbClr val="FFFFFF"/>
        </a:solidFill>
        <a:ln w="9360">
          <a:solidFill>
            <a:srgbClr val="000000"/>
          </a:solidFill>
          <a:miter/>
        </a:ln>
      </xdr:spPr>
      <xdr:style>
        <a:lnRef idx="0">
          <a:scrgbClr r="0" g="0" b="0"/>
        </a:lnRef>
        <a:fillRef idx="0">
          <a:scrgbClr r="0" g="0" b="0"/>
        </a:fillRef>
        <a:effectRef idx="0">
          <a:scrgbClr r="0" g="0" b="0"/>
        </a:effectRef>
        <a:fontRef idx="minor"/>
      </xdr:style>
    </xdr:sp>
    <xdr:clientData/>
  </xdr:twoCellAnchor>
  <xdr:twoCellAnchor>
    <xdr:from>
      <xdr:col>0</xdr:col>
      <xdr:colOff>0</xdr:colOff>
      <xdr:row>0</xdr:row>
      <xdr:rowOff>0</xdr:rowOff>
    </xdr:from>
    <xdr:to>
      <xdr:col>6</xdr:col>
      <xdr:colOff>1609725</xdr:colOff>
      <xdr:row>3</xdr:row>
      <xdr:rowOff>0</xdr:rowOff>
    </xdr:to>
    <xdr:sp macro="" textlink="">
      <xdr:nvSpPr>
        <xdr:cNvPr id="1044" name="shapetype_202" hidden="1">
          <a:extLst>
            <a:ext uri="{FF2B5EF4-FFF2-40B4-BE49-F238E27FC236}">
              <a16:creationId xmlns:a16="http://schemas.microsoft.com/office/drawing/2014/main" id="{00000000-0008-0000-0100-000014040000}"/>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6</xdr:col>
      <xdr:colOff>1609725</xdr:colOff>
      <xdr:row>3</xdr:row>
      <xdr:rowOff>0</xdr:rowOff>
    </xdr:to>
    <xdr:sp macro="" textlink="">
      <xdr:nvSpPr>
        <xdr:cNvPr id="1042" name="shapetype_202" hidden="1">
          <a:extLst>
            <a:ext uri="{FF2B5EF4-FFF2-40B4-BE49-F238E27FC236}">
              <a16:creationId xmlns:a16="http://schemas.microsoft.com/office/drawing/2014/main" id="{00000000-0008-0000-0100-000012040000}"/>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6</xdr:col>
      <xdr:colOff>1609725</xdr:colOff>
      <xdr:row>3</xdr:row>
      <xdr:rowOff>0</xdr:rowOff>
    </xdr:to>
    <xdr:sp macro="" textlink="">
      <xdr:nvSpPr>
        <xdr:cNvPr id="1040" name="shapetype_202" hidden="1">
          <a:extLst>
            <a:ext uri="{FF2B5EF4-FFF2-40B4-BE49-F238E27FC236}">
              <a16:creationId xmlns:a16="http://schemas.microsoft.com/office/drawing/2014/main" id="{00000000-0008-0000-0100-000010040000}"/>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6</xdr:col>
      <xdr:colOff>1609725</xdr:colOff>
      <xdr:row>3</xdr:row>
      <xdr:rowOff>0</xdr:rowOff>
    </xdr:to>
    <xdr:sp macro="" textlink="">
      <xdr:nvSpPr>
        <xdr:cNvPr id="1038" name="shapetype_202" hidden="1">
          <a:extLst>
            <a:ext uri="{FF2B5EF4-FFF2-40B4-BE49-F238E27FC236}">
              <a16:creationId xmlns:a16="http://schemas.microsoft.com/office/drawing/2014/main" id="{00000000-0008-0000-0100-00000E040000}"/>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6</xdr:col>
      <xdr:colOff>1609725</xdr:colOff>
      <xdr:row>3</xdr:row>
      <xdr:rowOff>0</xdr:rowOff>
    </xdr:to>
    <xdr:sp macro="" textlink="">
      <xdr:nvSpPr>
        <xdr:cNvPr id="1036" name="shapetype_202" hidden="1">
          <a:extLst>
            <a:ext uri="{FF2B5EF4-FFF2-40B4-BE49-F238E27FC236}">
              <a16:creationId xmlns:a16="http://schemas.microsoft.com/office/drawing/2014/main" id="{00000000-0008-0000-0100-00000C040000}"/>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6</xdr:col>
      <xdr:colOff>1609725</xdr:colOff>
      <xdr:row>3</xdr:row>
      <xdr:rowOff>0</xdr:rowOff>
    </xdr:to>
    <xdr:sp macro="" textlink="">
      <xdr:nvSpPr>
        <xdr:cNvPr id="1034" name="shapetype_202" hidden="1">
          <a:extLst>
            <a:ext uri="{FF2B5EF4-FFF2-40B4-BE49-F238E27FC236}">
              <a16:creationId xmlns:a16="http://schemas.microsoft.com/office/drawing/2014/main" id="{00000000-0008-0000-0100-00000A040000}"/>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6</xdr:col>
      <xdr:colOff>1609725</xdr:colOff>
      <xdr:row>3</xdr:row>
      <xdr:rowOff>0</xdr:rowOff>
    </xdr:to>
    <xdr:sp macro="" textlink="">
      <xdr:nvSpPr>
        <xdr:cNvPr id="1032" name="shapetype_202" hidden="1">
          <a:extLst>
            <a:ext uri="{FF2B5EF4-FFF2-40B4-BE49-F238E27FC236}">
              <a16:creationId xmlns:a16="http://schemas.microsoft.com/office/drawing/2014/main" id="{00000000-0008-0000-0100-000008040000}"/>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6</xdr:col>
      <xdr:colOff>1609725</xdr:colOff>
      <xdr:row>3</xdr:row>
      <xdr:rowOff>0</xdr:rowOff>
    </xdr:to>
    <xdr:sp macro="" textlink="">
      <xdr:nvSpPr>
        <xdr:cNvPr id="1030" name="shapetype_202" hidden="1">
          <a:extLst>
            <a:ext uri="{FF2B5EF4-FFF2-40B4-BE49-F238E27FC236}">
              <a16:creationId xmlns:a16="http://schemas.microsoft.com/office/drawing/2014/main" id="{00000000-0008-0000-0100-000006040000}"/>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6</xdr:col>
      <xdr:colOff>1609725</xdr:colOff>
      <xdr:row>3</xdr:row>
      <xdr:rowOff>0</xdr:rowOff>
    </xdr:to>
    <xdr:sp macro="" textlink="">
      <xdr:nvSpPr>
        <xdr:cNvPr id="1028" name="shapetype_202" hidden="1">
          <a:extLst>
            <a:ext uri="{FF2B5EF4-FFF2-40B4-BE49-F238E27FC236}">
              <a16:creationId xmlns:a16="http://schemas.microsoft.com/office/drawing/2014/main" id="{00000000-0008-0000-0100-000004040000}"/>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6</xdr:col>
      <xdr:colOff>1609725</xdr:colOff>
      <xdr:row>3</xdr:row>
      <xdr:rowOff>0</xdr:rowOff>
    </xdr:to>
    <xdr:sp macro="" textlink="">
      <xdr:nvSpPr>
        <xdr:cNvPr id="1026" name="shapetype_202" hidden="1">
          <a:extLst>
            <a:ext uri="{FF2B5EF4-FFF2-40B4-BE49-F238E27FC236}">
              <a16:creationId xmlns:a16="http://schemas.microsoft.com/office/drawing/2014/main" id="{00000000-0008-0000-0100-000002040000}"/>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974912</xdr:colOff>
      <xdr:row>0</xdr:row>
      <xdr:rowOff>0</xdr:rowOff>
    </xdr:from>
    <xdr:to>
      <xdr:col>2</xdr:col>
      <xdr:colOff>974912</xdr:colOff>
      <xdr:row>1</xdr:row>
      <xdr:rowOff>57150</xdr:rowOff>
    </xdr:to>
    <xdr:pic>
      <xdr:nvPicPr>
        <xdr:cNvPr id="2" name="Imagem 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65437" y="11206"/>
          <a:ext cx="3019425" cy="495300"/>
        </a:xfrm>
        <a:prstGeom prst="rect">
          <a:avLst/>
        </a:prstGeom>
      </xdr:spPr>
    </xdr:pic>
    <xdr:clientData/>
  </xdr:two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MK38"/>
  <sheetViews>
    <sheetView showGridLines="0" tabSelected="1" zoomScaleNormal="100" workbookViewId="0">
      <selection activeCell="D10" sqref="D10:J10"/>
    </sheetView>
  </sheetViews>
  <sheetFormatPr defaultRowHeight="14.4"/>
  <cols>
    <col min="1" max="1" width="2.109375" style="1" customWidth="1"/>
    <col min="2" max="2" width="6.33203125" style="1" customWidth="1"/>
    <col min="3" max="3" width="22.109375" style="1" customWidth="1"/>
    <col min="4" max="4" width="12.88671875" style="1" customWidth="1"/>
    <col min="5" max="5" width="3.5546875" style="1" customWidth="1"/>
    <col min="6" max="6" width="5.6640625" style="1" customWidth="1"/>
    <col min="7" max="7" width="10.6640625" style="1" customWidth="1"/>
    <col min="8" max="8" width="23" style="1" customWidth="1"/>
    <col min="9" max="9" width="21.44140625" style="1" bestFit="1" customWidth="1"/>
    <col min="10" max="10" width="2" style="1" bestFit="1" customWidth="1"/>
    <col min="11" max="11" width="48.109375" style="18" hidden="1" customWidth="1"/>
    <col min="12" max="1025" width="9.109375" style="1" customWidth="1"/>
  </cols>
  <sheetData>
    <row r="1" spans="2:11" s="1" customFormat="1" ht="12.75" customHeight="1">
      <c r="B1" s="151" t="s">
        <v>211</v>
      </c>
      <c r="C1" s="152"/>
      <c r="D1" s="152"/>
      <c r="E1" s="152"/>
      <c r="F1" s="152"/>
      <c r="G1" s="152"/>
      <c r="H1" s="152"/>
      <c r="I1" s="152"/>
      <c r="J1" s="153"/>
      <c r="K1" s="19" t="s">
        <v>117</v>
      </c>
    </row>
    <row r="2" spans="2:11" ht="22.5" customHeight="1">
      <c r="B2" s="154" t="s">
        <v>138</v>
      </c>
      <c r="C2" s="155"/>
      <c r="D2" s="155"/>
      <c r="E2" s="155"/>
      <c r="F2" s="155"/>
      <c r="G2" s="155"/>
      <c r="H2" s="155"/>
      <c r="I2" s="155"/>
      <c r="J2" s="156"/>
      <c r="K2" s="19" t="s">
        <v>118</v>
      </c>
    </row>
    <row r="3" spans="2:11" ht="15" customHeight="1">
      <c r="B3" s="143" t="s">
        <v>143</v>
      </c>
      <c r="C3" s="144"/>
      <c r="D3" s="144"/>
      <c r="E3" s="144"/>
      <c r="F3" s="144"/>
      <c r="G3" s="144"/>
      <c r="H3" s="144"/>
      <c r="I3" s="144"/>
      <c r="J3" s="145"/>
    </row>
    <row r="4" spans="2:11" ht="15" customHeight="1">
      <c r="B4" s="137" t="s">
        <v>98</v>
      </c>
      <c r="C4" s="138"/>
      <c r="D4" s="134" t="s">
        <v>213</v>
      </c>
      <c r="E4" s="135"/>
      <c r="F4" s="135"/>
      <c r="G4" s="135"/>
      <c r="H4" s="135"/>
      <c r="I4" s="135"/>
      <c r="J4" s="136"/>
      <c r="K4" s="19" t="s">
        <v>119</v>
      </c>
    </row>
    <row r="5" spans="2:11" ht="15" customHeight="1">
      <c r="B5" s="137" t="s">
        <v>41</v>
      </c>
      <c r="C5" s="138"/>
      <c r="D5" s="134" t="s">
        <v>215</v>
      </c>
      <c r="E5" s="135"/>
      <c r="F5" s="135"/>
      <c r="G5" s="135"/>
      <c r="H5" s="135"/>
      <c r="I5" s="135"/>
      <c r="J5" s="136"/>
      <c r="K5" s="19" t="s">
        <v>120</v>
      </c>
    </row>
    <row r="6" spans="2:11" ht="15" customHeight="1">
      <c r="B6" s="137" t="s">
        <v>40</v>
      </c>
      <c r="C6" s="138"/>
      <c r="D6" s="134" t="s">
        <v>212</v>
      </c>
      <c r="E6" s="135"/>
      <c r="F6" s="135"/>
      <c r="G6" s="135"/>
      <c r="H6" s="135"/>
      <c r="I6" s="135"/>
      <c r="J6" s="136"/>
      <c r="K6" s="19" t="s">
        <v>137</v>
      </c>
    </row>
    <row r="7" spans="2:11" ht="15" customHeight="1">
      <c r="B7" s="132" t="s">
        <v>144</v>
      </c>
      <c r="C7" s="133"/>
      <c r="D7" s="134" t="s">
        <v>217</v>
      </c>
      <c r="E7" s="135"/>
      <c r="F7" s="135"/>
      <c r="G7" s="135"/>
      <c r="H7" s="135"/>
      <c r="I7" s="135"/>
      <c r="J7" s="136"/>
      <c r="K7" s="19" t="s">
        <v>163</v>
      </c>
    </row>
    <row r="8" spans="2:11" ht="15" customHeight="1">
      <c r="B8" s="137" t="s">
        <v>42</v>
      </c>
      <c r="C8" s="138"/>
      <c r="D8" s="157" t="s">
        <v>128</v>
      </c>
      <c r="E8" s="158"/>
      <c r="F8" s="158"/>
      <c r="G8" s="158"/>
      <c r="H8" s="48" t="s">
        <v>146</v>
      </c>
      <c r="I8" s="159" t="str">
        <f xml:space="preserve">
IF(D8=Parâmetros!B3,Parâmetros!A3,
IF(D8=Parâmetros!B4,Parâmetros!A4,
IF(D8=Parâmetros!B5,Parâmetros!A5,
IF(D8=Parâmetros!B6,Parâmetros!A6,""))))</f>
        <v>CPM 4.3.1</v>
      </c>
      <c r="J8" s="160"/>
      <c r="K8" s="19" t="s">
        <v>164</v>
      </c>
    </row>
    <row r="9" spans="2:11" ht="15" customHeight="1">
      <c r="B9" s="137" t="s">
        <v>52</v>
      </c>
      <c r="C9" s="138"/>
      <c r="D9" s="148">
        <v>46182</v>
      </c>
      <c r="E9" s="149"/>
      <c r="F9" s="149"/>
      <c r="G9" s="149"/>
      <c r="H9" s="149"/>
      <c r="I9" s="149"/>
      <c r="J9" s="150"/>
      <c r="K9" s="19" t="s">
        <v>209</v>
      </c>
    </row>
    <row r="10" spans="2:11" ht="15" customHeight="1">
      <c r="B10" s="123"/>
      <c r="C10" s="124"/>
      <c r="D10" s="125"/>
      <c r="E10" s="125"/>
      <c r="F10" s="125"/>
      <c r="G10" s="125"/>
      <c r="H10" s="125"/>
      <c r="I10" s="125"/>
      <c r="J10" s="126"/>
      <c r="K10" s="19" t="s">
        <v>210</v>
      </c>
    </row>
    <row r="11" spans="2:11" ht="15" customHeight="1">
      <c r="B11" s="137" t="str">
        <f xml:space="preserve">
IF(D8=Parâmetros!B3,"Total PF Detalhado Bruto",
IF(D8=Parâmetros!B4,"Total PF Estimado Bruto",
IF(D8=Parâmetros!B5,"Total PF Simplificado Bruto",
IF(D8=Parâmetros!B6,"Total PF Indicado Bruto",""))))</f>
        <v>Total PF Detalhado Bruto</v>
      </c>
      <c r="C11" s="138"/>
      <c r="D11" s="141" t="str">
        <f>Funções!P3</f>
        <v>173 PFB</v>
      </c>
      <c r="E11" s="141"/>
      <c r="F11" s="141"/>
      <c r="G11" s="138" t="str">
        <f xml:space="preserve">
IF(D8=Parâmetros!B3,"Total PF Detalhado Líquido",
IF(D8=Parâmetros!B4,"Total PF Estimado Líquido",
IF(D8=Parâmetros!B5,"Total PF Simplificado Líquido",
IF(D8=Parâmetros!B6,"Total PF Indicado Líquido",""))))</f>
        <v>Total PF Detalhado Líquido</v>
      </c>
      <c r="H11" s="138"/>
      <c r="I11" s="141" t="str">
        <f>Funções!Q3</f>
        <v>86,5 PFL</v>
      </c>
      <c r="J11" s="142"/>
    </row>
    <row r="12" spans="2:11" ht="15" customHeight="1">
      <c r="B12" s="123"/>
      <c r="C12" s="124"/>
      <c r="D12" s="125"/>
      <c r="E12" s="125"/>
      <c r="F12" s="125"/>
      <c r="G12" s="125"/>
      <c r="H12" s="125"/>
      <c r="I12" s="125"/>
      <c r="J12" s="126"/>
    </row>
    <row r="13" spans="2:11" ht="15" customHeight="1">
      <c r="B13" s="143" t="s">
        <v>39</v>
      </c>
      <c r="C13" s="144"/>
      <c r="D13" s="144"/>
      <c r="E13" s="144"/>
      <c r="F13" s="144"/>
      <c r="G13" s="144"/>
      <c r="H13" s="144"/>
      <c r="I13" s="144"/>
      <c r="J13" s="145"/>
    </row>
    <row r="14" spans="2:11" ht="15" customHeight="1">
      <c r="B14" s="137" t="s">
        <v>41</v>
      </c>
      <c r="C14" s="138"/>
      <c r="D14" s="146" t="str">
        <f>D5</f>
        <v>3600-2026</v>
      </c>
      <c r="E14" s="146"/>
      <c r="F14" s="146"/>
      <c r="G14" s="146"/>
      <c r="H14" s="146"/>
      <c r="I14" s="146"/>
      <c r="J14" s="147"/>
    </row>
    <row r="15" spans="2:11" ht="15" customHeight="1">
      <c r="B15" s="132" t="s">
        <v>43</v>
      </c>
      <c r="C15" s="133"/>
      <c r="D15" s="134" t="s">
        <v>149</v>
      </c>
      <c r="E15" s="135"/>
      <c r="F15" s="135"/>
      <c r="G15" s="135"/>
      <c r="H15" s="135"/>
      <c r="I15" s="135"/>
      <c r="J15" s="136"/>
    </row>
    <row r="16" spans="2:11" ht="15" customHeight="1">
      <c r="B16" s="132" t="s">
        <v>44</v>
      </c>
      <c r="C16" s="133"/>
      <c r="D16" s="139">
        <v>46201</v>
      </c>
      <c r="E16" s="139"/>
      <c r="F16" s="139"/>
      <c r="G16" s="139"/>
      <c r="H16" s="139"/>
      <c r="I16" s="139"/>
      <c r="J16" s="140"/>
    </row>
    <row r="17" spans="1:1025" ht="15" customHeight="1">
      <c r="B17" s="137" t="str">
        <f xml:space="preserve">
IF(D8=Parâmetros!B3,"Total PF Detalhado Bruto",
IF(D8=Parâmetros!B4,"Total PF Estimado Bruto",
IF(D8=Parâmetros!B5,"Total PF Simplificado Bruto",
IF(D8=Parâmetros!B6,"Total PF Indicado Bruto",""))))</f>
        <v>Total PF Detalhado Bruto</v>
      </c>
      <c r="C17" s="138"/>
      <c r="D17" s="141" t="str">
        <f>Funções!AI3</f>
        <v>173 PFB</v>
      </c>
      <c r="E17" s="141"/>
      <c r="F17" s="141"/>
      <c r="G17" s="138" t="str">
        <f xml:space="preserve">
IF(D8=Parâmetros!B3,"Total PF Detalhado Líquido",
IF(D8=Parâmetros!B4,"Total PF Estimado Líquido",
IF(D8=Parâmetros!B5,"Total PF Simplificado Líquido",
IF(D8=Parâmetros!B6,"Total PF Indicado Líquido",""))))</f>
        <v>Total PF Detalhado Líquido</v>
      </c>
      <c r="H17" s="138"/>
      <c r="I17" s="141" t="str">
        <f>Funções!AJ3</f>
        <v>86,5 PFL</v>
      </c>
      <c r="J17" s="142"/>
    </row>
    <row r="18" spans="1:1025" ht="15" customHeight="1">
      <c r="B18" s="123"/>
      <c r="C18" s="124"/>
      <c r="D18" s="125"/>
      <c r="E18" s="125"/>
      <c r="F18" s="125"/>
      <c r="G18" s="125"/>
      <c r="H18" s="125"/>
      <c r="I18" s="125"/>
      <c r="J18" s="126"/>
    </row>
    <row r="19" spans="1:1025" ht="15" hidden="1" customHeight="1">
      <c r="B19" s="109" t="s">
        <v>5</v>
      </c>
      <c r="C19" s="110"/>
      <c r="D19" s="110"/>
      <c r="E19" s="110"/>
      <c r="F19" s="110"/>
      <c r="G19" s="110"/>
      <c r="H19" s="110"/>
      <c r="I19" s="110"/>
      <c r="J19" s="111"/>
    </row>
    <row r="20" spans="1:1025" hidden="1">
      <c r="B20" s="121" t="s">
        <v>6</v>
      </c>
      <c r="C20" s="122"/>
      <c r="D20" s="130" t="s">
        <v>97</v>
      </c>
      <c r="E20" s="130"/>
      <c r="F20" s="130"/>
      <c r="G20" s="130"/>
      <c r="H20" s="130"/>
      <c r="I20" s="130"/>
      <c r="J20" s="131"/>
    </row>
    <row r="21" spans="1:1025" ht="15" hidden="1" customHeight="1">
      <c r="B21" s="121" t="s">
        <v>7</v>
      </c>
      <c r="C21" s="122"/>
      <c r="D21" s="13">
        <f>IFERROR(IF(H22="B",ROUND((D17-D11)/D11,2),ROUND((I17-I11)/I11,2)),0)</f>
        <v>0</v>
      </c>
      <c r="E21" s="14"/>
      <c r="F21" s="14"/>
      <c r="G21" s="14"/>
      <c r="H21" s="14"/>
      <c r="I21" s="14"/>
      <c r="J21" s="15"/>
    </row>
    <row r="22" spans="1:1025" ht="22.5" hidden="1" customHeight="1">
      <c r="B22" s="16"/>
      <c r="C22" s="5"/>
      <c r="D22" s="5"/>
      <c r="E22" s="5"/>
      <c r="F22" s="6" t="s">
        <v>0</v>
      </c>
      <c r="G22" s="5"/>
      <c r="H22" s="5" t="str">
        <f>IF(D20="Comparação PF Liquído","L","B")</f>
        <v>L</v>
      </c>
      <c r="I22" s="5" t="s">
        <v>1</v>
      </c>
      <c r="J22" s="17">
        <f>COUNTA(Funções!A4:A455)</f>
        <v>55</v>
      </c>
    </row>
    <row r="23" spans="1:1025" ht="22.5" hidden="1" customHeight="1">
      <c r="B23" s="16"/>
      <c r="C23" s="5"/>
      <c r="D23" s="5"/>
      <c r="E23" s="5"/>
      <c r="F23" s="6" t="s">
        <v>2</v>
      </c>
      <c r="G23" s="5"/>
      <c r="H23" s="5">
        <v>0</v>
      </c>
      <c r="I23" s="5" t="s">
        <v>3</v>
      </c>
      <c r="J23" s="17">
        <f>COUNTIFS(Funções!U4:U455,"NOK")</f>
        <v>0</v>
      </c>
    </row>
    <row r="24" spans="1:1025" ht="22.5" hidden="1" customHeight="1">
      <c r="B24" s="16"/>
      <c r="C24" s="5"/>
      <c r="D24" s="5"/>
      <c r="E24" s="5"/>
      <c r="F24" s="5"/>
      <c r="G24" s="5"/>
      <c r="H24" s="5">
        <v>-0.05</v>
      </c>
      <c r="I24" s="5" t="s">
        <v>4</v>
      </c>
      <c r="J24" s="17">
        <f>COUNTIFS(Funções!U4:U455,"OK")</f>
        <v>36</v>
      </c>
    </row>
    <row r="25" spans="1:1025" ht="15" hidden="1" customHeight="1">
      <c r="B25" s="123"/>
      <c r="C25" s="124"/>
      <c r="D25" s="125"/>
      <c r="E25" s="125"/>
      <c r="F25" s="125"/>
      <c r="G25" s="125"/>
      <c r="H25" s="125"/>
      <c r="I25" s="125"/>
      <c r="J25" s="126"/>
    </row>
    <row r="26" spans="1:1025" hidden="1">
      <c r="B26" s="127" t="str">
        <f>CONCATENATE(G17,":",I17," PF")</f>
        <v>Total PF Detalhado Líquido:86,5 PFL PF</v>
      </c>
      <c r="C26" s="128"/>
      <c r="D26" s="128"/>
      <c r="E26" s="128"/>
      <c r="F26" s="128"/>
      <c r="G26" s="128"/>
      <c r="H26" s="128"/>
      <c r="I26" s="128"/>
      <c r="J26" s="129"/>
    </row>
    <row r="27" spans="1:1025" hidden="1">
      <c r="B27" s="127" t="str">
        <f>CONCATENATE(B21,":",D21*100,"%")</f>
        <v xml:space="preserve">    % de Divergência:0%</v>
      </c>
      <c r="C27" s="128"/>
      <c r="D27" s="128"/>
      <c r="E27" s="128"/>
      <c r="F27" s="128"/>
      <c r="G27" s="128"/>
      <c r="H27" s="128"/>
      <c r="I27" s="128"/>
      <c r="J27" s="129"/>
    </row>
    <row r="28" spans="1:1025">
      <c r="B28" s="109" t="str">
        <f>"Propósito da contagem"</f>
        <v>Propósito da contagem</v>
      </c>
      <c r="C28" s="110"/>
      <c r="D28" s="110"/>
      <c r="E28" s="110"/>
      <c r="F28" s="110"/>
      <c r="G28" s="110"/>
      <c r="H28" s="110"/>
      <c r="I28" s="110"/>
      <c r="J28" s="111"/>
    </row>
    <row r="29" spans="1:1025" s="4" customFormat="1" ht="40.5" customHeight="1">
      <c r="A29" s="7"/>
      <c r="B29" s="112" t="str">
        <f xml:space="preserve">
IF(D8=Parâmetros!B3,"Estimar o tamanho funcional do escopo da OS conforme definições do método de contagem detalhada de PF do IFPUG no CPM v4.3.1 e INMs contratuais",
IF(D8=Parâmetros!B4,"Estimar o tamanho funcional do escopo da OS conforme definições do método de contagem estimada de PF do NESMA e INMs contratuais",
IF(D8=Parâmetros!B5,"Estimar o tamanho funcional do escopo da OS conforme definições do método de contagem detalhada de PF Simplificado do IFPUG no SFP v2.1 e INMs contratuais",
IF(D8=Parâmetros!B6,"Estimar o tamanho funcional do escopo da OS conforme definições do método de contagem indicativa de PF do NESMA e INMs contratuais",""))))</f>
        <v>Estimar o tamanho funcional do escopo da OS conforme definições do método de contagem detalhada de PF do IFPUG no CPM v4.3.1 e INMs contratuais</v>
      </c>
      <c r="C29" s="113"/>
      <c r="D29" s="113"/>
      <c r="E29" s="113"/>
      <c r="F29" s="113"/>
      <c r="G29" s="113"/>
      <c r="H29" s="113"/>
      <c r="I29" s="113"/>
      <c r="J29" s="114"/>
      <c r="K29" s="18"/>
      <c r="L29" s="7"/>
      <c r="M29" s="7"/>
      <c r="N29" s="7"/>
      <c r="O29" s="7"/>
      <c r="P29" s="7"/>
      <c r="Q29" s="7"/>
      <c r="R29" s="7"/>
      <c r="S29" s="7"/>
      <c r="T29" s="7"/>
      <c r="U29" s="7"/>
      <c r="V29" s="7"/>
      <c r="W29" s="7"/>
      <c r="X29" s="7"/>
      <c r="Y29" s="7"/>
      <c r="Z29" s="7"/>
      <c r="AA29" s="7"/>
      <c r="AB29" s="7"/>
      <c r="AC29" s="7"/>
      <c r="AD29" s="7"/>
      <c r="AE29" s="7"/>
      <c r="AF29" s="7"/>
      <c r="AG29" s="7"/>
      <c r="AH29" s="7"/>
      <c r="AI29" s="7"/>
      <c r="AJ29" s="7"/>
      <c r="AK29" s="7"/>
      <c r="AL29" s="7"/>
      <c r="AM29" s="7"/>
      <c r="AN29" s="7"/>
      <c r="AO29" s="7"/>
      <c r="AP29" s="7"/>
      <c r="AQ29" s="7"/>
      <c r="AR29" s="7"/>
      <c r="AS29" s="7"/>
      <c r="AT29" s="7"/>
      <c r="AU29" s="7"/>
      <c r="AV29" s="7"/>
      <c r="AW29" s="7"/>
      <c r="AX29" s="7"/>
      <c r="AY29" s="7"/>
      <c r="AZ29" s="7"/>
      <c r="BA29" s="7"/>
      <c r="BB29" s="7"/>
      <c r="BC29" s="7"/>
      <c r="BD29" s="7"/>
      <c r="BE29" s="7"/>
      <c r="BF29" s="7"/>
      <c r="BG29" s="7"/>
      <c r="BH29" s="7"/>
      <c r="BI29" s="7"/>
      <c r="BJ29" s="7"/>
      <c r="BK29" s="7"/>
      <c r="BL29" s="7"/>
      <c r="BM29" s="7"/>
      <c r="BN29" s="7"/>
      <c r="BO29" s="7"/>
      <c r="BP29" s="7"/>
      <c r="BQ29" s="7"/>
      <c r="BR29" s="7"/>
      <c r="BS29" s="7"/>
      <c r="BT29" s="7"/>
      <c r="BU29" s="7"/>
      <c r="BV29" s="7"/>
      <c r="BW29" s="7"/>
      <c r="BX29" s="7"/>
      <c r="BY29" s="7"/>
      <c r="BZ29" s="7"/>
      <c r="CA29" s="7"/>
      <c r="CB29" s="7"/>
      <c r="CC29" s="7"/>
      <c r="CD29" s="7"/>
      <c r="CE29" s="7"/>
      <c r="CF29" s="7"/>
      <c r="CG29" s="7"/>
      <c r="CH29" s="7"/>
      <c r="CI29" s="7"/>
      <c r="CJ29" s="7"/>
      <c r="CK29" s="7"/>
      <c r="CL29" s="7"/>
      <c r="CM29" s="7"/>
      <c r="CN29" s="7"/>
      <c r="CO29" s="7"/>
      <c r="CP29" s="7"/>
      <c r="CQ29" s="7"/>
      <c r="CR29" s="7"/>
      <c r="CS29" s="7"/>
      <c r="CT29" s="7"/>
      <c r="CU29" s="7"/>
      <c r="CV29" s="7"/>
      <c r="CW29" s="7"/>
      <c r="CX29" s="7"/>
      <c r="CY29" s="7"/>
      <c r="CZ29" s="7"/>
      <c r="DA29" s="7"/>
      <c r="DB29" s="7"/>
      <c r="DC29" s="7"/>
      <c r="DD29" s="7"/>
      <c r="DE29" s="7"/>
      <c r="DF29" s="7"/>
      <c r="DG29" s="7"/>
      <c r="DH29" s="7"/>
      <c r="DI29" s="7"/>
      <c r="DJ29" s="7"/>
      <c r="DK29" s="7"/>
      <c r="DL29" s="7"/>
      <c r="DM29" s="7"/>
      <c r="DN29" s="7"/>
      <c r="DO29" s="7"/>
      <c r="DP29" s="7"/>
      <c r="DQ29" s="7"/>
      <c r="DR29" s="7"/>
      <c r="DS29" s="7"/>
      <c r="DT29" s="7"/>
      <c r="DU29" s="7"/>
      <c r="DV29" s="7"/>
      <c r="DW29" s="7"/>
      <c r="DX29" s="7"/>
      <c r="DY29" s="7"/>
      <c r="DZ29" s="7"/>
      <c r="EA29" s="7"/>
      <c r="EB29" s="7"/>
      <c r="EC29" s="7"/>
      <c r="ED29" s="7"/>
      <c r="EE29" s="7"/>
      <c r="EF29" s="7"/>
      <c r="EG29" s="7"/>
      <c r="EH29" s="7"/>
      <c r="EI29" s="7"/>
      <c r="EJ29" s="7"/>
      <c r="EK29" s="7"/>
      <c r="EL29" s="7"/>
      <c r="EM29" s="7"/>
      <c r="EN29" s="7"/>
      <c r="EO29" s="7"/>
      <c r="EP29" s="7"/>
      <c r="EQ29" s="7"/>
      <c r="ER29" s="7"/>
      <c r="ES29" s="7"/>
      <c r="ET29" s="7"/>
      <c r="EU29" s="7"/>
      <c r="EV29" s="7"/>
      <c r="EW29" s="7"/>
      <c r="EX29" s="7"/>
      <c r="EY29" s="7"/>
      <c r="EZ29" s="7"/>
      <c r="FA29" s="7"/>
      <c r="FB29" s="7"/>
      <c r="FC29" s="7"/>
      <c r="FD29" s="7"/>
      <c r="FE29" s="7"/>
      <c r="FF29" s="7"/>
      <c r="FG29" s="7"/>
      <c r="FH29" s="7"/>
      <c r="FI29" s="7"/>
      <c r="FJ29" s="7"/>
      <c r="FK29" s="7"/>
      <c r="FL29" s="7"/>
      <c r="FM29" s="7"/>
      <c r="FN29" s="7"/>
      <c r="FO29" s="7"/>
      <c r="FP29" s="7"/>
      <c r="FQ29" s="7"/>
      <c r="FR29" s="7"/>
      <c r="FS29" s="7"/>
      <c r="FT29" s="7"/>
      <c r="FU29" s="7"/>
      <c r="FV29" s="7"/>
      <c r="FW29" s="7"/>
      <c r="FX29" s="7"/>
      <c r="FY29" s="7"/>
      <c r="FZ29" s="7"/>
      <c r="GA29" s="7"/>
      <c r="GB29" s="7"/>
      <c r="GC29" s="7"/>
      <c r="GD29" s="7"/>
      <c r="GE29" s="7"/>
      <c r="GF29" s="7"/>
      <c r="GG29" s="7"/>
      <c r="GH29" s="7"/>
      <c r="GI29" s="7"/>
      <c r="GJ29" s="7"/>
      <c r="GK29" s="7"/>
      <c r="GL29" s="7"/>
      <c r="GM29" s="7"/>
      <c r="GN29" s="7"/>
      <c r="GO29" s="7"/>
      <c r="GP29" s="7"/>
      <c r="GQ29" s="7"/>
      <c r="GR29" s="7"/>
      <c r="GS29" s="7"/>
      <c r="GT29" s="7"/>
      <c r="GU29" s="7"/>
      <c r="GV29" s="7"/>
      <c r="GW29" s="7"/>
      <c r="GX29" s="7"/>
      <c r="GY29" s="7"/>
      <c r="GZ29" s="7"/>
      <c r="HA29" s="7"/>
      <c r="HB29" s="7"/>
      <c r="HC29" s="7"/>
      <c r="HD29" s="7"/>
      <c r="HE29" s="7"/>
      <c r="HF29" s="7"/>
      <c r="HG29" s="7"/>
      <c r="HH29" s="7"/>
      <c r="HI29" s="7"/>
      <c r="HJ29" s="7"/>
      <c r="HK29" s="7"/>
      <c r="HL29" s="7"/>
      <c r="HM29" s="7"/>
      <c r="HN29" s="7"/>
      <c r="HO29" s="7"/>
      <c r="HP29" s="7"/>
      <c r="HQ29" s="7"/>
      <c r="HR29" s="7"/>
      <c r="HS29" s="7"/>
      <c r="HT29" s="7"/>
      <c r="HU29" s="7"/>
      <c r="HV29" s="7"/>
      <c r="HW29" s="7"/>
      <c r="HX29" s="7"/>
      <c r="HY29" s="7"/>
      <c r="HZ29" s="7"/>
      <c r="IA29" s="7"/>
      <c r="IB29" s="7"/>
      <c r="IC29" s="7"/>
      <c r="ID29" s="7"/>
      <c r="IE29" s="7"/>
      <c r="IF29" s="7"/>
      <c r="IG29" s="7"/>
      <c r="IH29" s="7"/>
      <c r="II29" s="7"/>
      <c r="IJ29" s="7"/>
      <c r="IK29" s="7"/>
      <c r="IL29" s="7"/>
      <c r="IM29" s="7"/>
      <c r="IN29" s="7"/>
      <c r="IO29" s="7"/>
      <c r="IP29" s="7"/>
      <c r="IQ29" s="7"/>
      <c r="IR29" s="7"/>
      <c r="IS29" s="7"/>
      <c r="IT29" s="7"/>
      <c r="IU29" s="7"/>
      <c r="IV29" s="7"/>
      <c r="IW29" s="7"/>
      <c r="IX29" s="7"/>
      <c r="IY29" s="7"/>
      <c r="IZ29" s="7"/>
      <c r="JA29" s="7"/>
      <c r="JB29" s="7"/>
      <c r="JC29" s="7"/>
      <c r="JD29" s="7"/>
      <c r="JE29" s="7"/>
      <c r="JF29" s="7"/>
      <c r="JG29" s="7"/>
      <c r="JH29" s="7"/>
      <c r="JI29" s="7"/>
      <c r="JJ29" s="7"/>
      <c r="JK29" s="7"/>
      <c r="JL29" s="7"/>
      <c r="JM29" s="7"/>
      <c r="JN29" s="7"/>
      <c r="JO29" s="7"/>
      <c r="JP29" s="7"/>
      <c r="JQ29" s="7"/>
      <c r="JR29" s="7"/>
      <c r="JS29" s="7"/>
      <c r="JT29" s="7"/>
      <c r="JU29" s="7"/>
      <c r="JV29" s="7"/>
      <c r="JW29" s="7"/>
      <c r="JX29" s="7"/>
      <c r="JY29" s="7"/>
      <c r="JZ29" s="7"/>
      <c r="KA29" s="7"/>
      <c r="KB29" s="7"/>
      <c r="KC29" s="7"/>
      <c r="KD29" s="7"/>
      <c r="KE29" s="7"/>
      <c r="KF29" s="7"/>
      <c r="KG29" s="7"/>
      <c r="KH29" s="7"/>
      <c r="KI29" s="7"/>
      <c r="KJ29" s="7"/>
      <c r="KK29" s="7"/>
      <c r="KL29" s="7"/>
      <c r="KM29" s="7"/>
      <c r="KN29" s="7"/>
      <c r="KO29" s="7"/>
      <c r="KP29" s="7"/>
      <c r="KQ29" s="7"/>
      <c r="KR29" s="7"/>
      <c r="KS29" s="7"/>
      <c r="KT29" s="7"/>
      <c r="KU29" s="7"/>
      <c r="KV29" s="7"/>
      <c r="KW29" s="7"/>
      <c r="KX29" s="7"/>
      <c r="KY29" s="7"/>
      <c r="KZ29" s="7"/>
      <c r="LA29" s="7"/>
      <c r="LB29" s="7"/>
      <c r="LC29" s="7"/>
      <c r="LD29" s="7"/>
      <c r="LE29" s="7"/>
      <c r="LF29" s="7"/>
      <c r="LG29" s="7"/>
      <c r="LH29" s="7"/>
      <c r="LI29" s="7"/>
      <c r="LJ29" s="7"/>
      <c r="LK29" s="7"/>
      <c r="LL29" s="7"/>
      <c r="LM29" s="7"/>
      <c r="LN29" s="7"/>
      <c r="LO29" s="7"/>
      <c r="LP29" s="7"/>
      <c r="LQ29" s="7"/>
      <c r="LR29" s="7"/>
      <c r="LS29" s="7"/>
      <c r="LT29" s="7"/>
      <c r="LU29" s="7"/>
      <c r="LV29" s="7"/>
      <c r="LW29" s="7"/>
      <c r="LX29" s="7"/>
      <c r="LY29" s="7"/>
      <c r="LZ29" s="7"/>
      <c r="MA29" s="7"/>
      <c r="MB29" s="7"/>
      <c r="MC29" s="7"/>
      <c r="MD29" s="7"/>
      <c r="ME29" s="7"/>
      <c r="MF29" s="7"/>
      <c r="MG29" s="7"/>
      <c r="MH29" s="7"/>
      <c r="MI29" s="7"/>
      <c r="MJ29" s="7"/>
      <c r="MK29" s="7"/>
      <c r="ML29" s="7"/>
      <c r="MM29" s="7"/>
      <c r="MN29" s="7"/>
      <c r="MO29" s="7"/>
      <c r="MP29" s="7"/>
      <c r="MQ29" s="7"/>
      <c r="MR29" s="7"/>
      <c r="MS29" s="7"/>
      <c r="MT29" s="7"/>
      <c r="MU29" s="7"/>
      <c r="MV29" s="7"/>
      <c r="MW29" s="7"/>
      <c r="MX29" s="7"/>
      <c r="MY29" s="7"/>
      <c r="MZ29" s="7"/>
      <c r="NA29" s="7"/>
      <c r="NB29" s="7"/>
      <c r="NC29" s="7"/>
      <c r="ND29" s="7"/>
      <c r="NE29" s="7"/>
      <c r="NF29" s="7"/>
      <c r="NG29" s="7"/>
      <c r="NH29" s="7"/>
      <c r="NI29" s="7"/>
      <c r="NJ29" s="7"/>
      <c r="NK29" s="7"/>
      <c r="NL29" s="7"/>
      <c r="NM29" s="7"/>
      <c r="NN29" s="7"/>
      <c r="NO29" s="7"/>
      <c r="NP29" s="7"/>
      <c r="NQ29" s="7"/>
      <c r="NR29" s="7"/>
      <c r="NS29" s="7"/>
      <c r="NT29" s="7"/>
      <c r="NU29" s="7"/>
      <c r="NV29" s="7"/>
      <c r="NW29" s="7"/>
      <c r="NX29" s="7"/>
      <c r="NY29" s="7"/>
      <c r="NZ29" s="7"/>
      <c r="OA29" s="7"/>
      <c r="OB29" s="7"/>
      <c r="OC29" s="7"/>
      <c r="OD29" s="7"/>
      <c r="OE29" s="7"/>
      <c r="OF29" s="7"/>
      <c r="OG29" s="7"/>
      <c r="OH29" s="7"/>
      <c r="OI29" s="7"/>
      <c r="OJ29" s="7"/>
      <c r="OK29" s="7"/>
      <c r="OL29" s="7"/>
      <c r="OM29" s="7"/>
      <c r="ON29" s="7"/>
      <c r="OO29" s="7"/>
      <c r="OP29" s="7"/>
      <c r="OQ29" s="7"/>
      <c r="OR29" s="7"/>
      <c r="OS29" s="7"/>
      <c r="OT29" s="7"/>
      <c r="OU29" s="7"/>
      <c r="OV29" s="7"/>
      <c r="OW29" s="7"/>
      <c r="OX29" s="7"/>
      <c r="OY29" s="7"/>
      <c r="OZ29" s="7"/>
      <c r="PA29" s="7"/>
      <c r="PB29" s="7"/>
      <c r="PC29" s="7"/>
      <c r="PD29" s="7"/>
      <c r="PE29" s="7"/>
      <c r="PF29" s="7"/>
      <c r="PG29" s="7"/>
      <c r="PH29" s="7"/>
      <c r="PI29" s="7"/>
      <c r="PJ29" s="7"/>
      <c r="PK29" s="7"/>
      <c r="PL29" s="7"/>
      <c r="PM29" s="7"/>
      <c r="PN29" s="7"/>
      <c r="PO29" s="7"/>
      <c r="PP29" s="7"/>
      <c r="PQ29" s="7"/>
      <c r="PR29" s="7"/>
      <c r="PS29" s="7"/>
      <c r="PT29" s="7"/>
      <c r="PU29" s="7"/>
      <c r="PV29" s="7"/>
      <c r="PW29" s="7"/>
      <c r="PX29" s="7"/>
      <c r="PY29" s="7"/>
      <c r="PZ29" s="7"/>
      <c r="QA29" s="7"/>
      <c r="QB29" s="7"/>
      <c r="QC29" s="7"/>
      <c r="QD29" s="7"/>
      <c r="QE29" s="7"/>
      <c r="QF29" s="7"/>
      <c r="QG29" s="7"/>
      <c r="QH29" s="7"/>
      <c r="QI29" s="7"/>
      <c r="QJ29" s="7"/>
      <c r="QK29" s="7"/>
      <c r="QL29" s="7"/>
      <c r="QM29" s="7"/>
      <c r="QN29" s="7"/>
      <c r="QO29" s="7"/>
      <c r="QP29" s="7"/>
      <c r="QQ29" s="7"/>
      <c r="QR29" s="7"/>
      <c r="QS29" s="7"/>
      <c r="QT29" s="7"/>
      <c r="QU29" s="7"/>
      <c r="QV29" s="7"/>
      <c r="QW29" s="7"/>
      <c r="QX29" s="7"/>
      <c r="QY29" s="7"/>
      <c r="QZ29" s="7"/>
      <c r="RA29" s="7"/>
      <c r="RB29" s="7"/>
      <c r="RC29" s="7"/>
      <c r="RD29" s="7"/>
      <c r="RE29" s="7"/>
      <c r="RF29" s="7"/>
      <c r="RG29" s="7"/>
      <c r="RH29" s="7"/>
      <c r="RI29" s="7"/>
      <c r="RJ29" s="7"/>
      <c r="RK29" s="7"/>
      <c r="RL29" s="7"/>
      <c r="RM29" s="7"/>
      <c r="RN29" s="7"/>
      <c r="RO29" s="7"/>
      <c r="RP29" s="7"/>
      <c r="RQ29" s="7"/>
      <c r="RR29" s="7"/>
      <c r="RS29" s="7"/>
      <c r="RT29" s="7"/>
      <c r="RU29" s="7"/>
      <c r="RV29" s="7"/>
      <c r="RW29" s="7"/>
      <c r="RX29" s="7"/>
      <c r="RY29" s="7"/>
      <c r="RZ29" s="7"/>
      <c r="SA29" s="7"/>
      <c r="SB29" s="7"/>
      <c r="SC29" s="7"/>
      <c r="SD29" s="7"/>
      <c r="SE29" s="7"/>
      <c r="SF29" s="7"/>
      <c r="SG29" s="7"/>
      <c r="SH29" s="7"/>
      <c r="SI29" s="7"/>
      <c r="SJ29" s="7"/>
      <c r="SK29" s="7"/>
      <c r="SL29" s="7"/>
      <c r="SM29" s="7"/>
      <c r="SN29" s="7"/>
      <c r="SO29" s="7"/>
      <c r="SP29" s="7"/>
      <c r="SQ29" s="7"/>
      <c r="SR29" s="7"/>
      <c r="SS29" s="7"/>
      <c r="ST29" s="7"/>
      <c r="SU29" s="7"/>
      <c r="SV29" s="7"/>
      <c r="SW29" s="7"/>
      <c r="SX29" s="7"/>
      <c r="SY29" s="7"/>
      <c r="SZ29" s="7"/>
      <c r="TA29" s="7"/>
      <c r="TB29" s="7"/>
      <c r="TC29" s="7"/>
      <c r="TD29" s="7"/>
      <c r="TE29" s="7"/>
      <c r="TF29" s="7"/>
      <c r="TG29" s="7"/>
      <c r="TH29" s="7"/>
      <c r="TI29" s="7"/>
      <c r="TJ29" s="7"/>
      <c r="TK29" s="7"/>
      <c r="TL29" s="7"/>
      <c r="TM29" s="7"/>
      <c r="TN29" s="7"/>
      <c r="TO29" s="7"/>
      <c r="TP29" s="7"/>
      <c r="TQ29" s="7"/>
      <c r="TR29" s="7"/>
      <c r="TS29" s="7"/>
      <c r="TT29" s="7"/>
      <c r="TU29" s="7"/>
      <c r="TV29" s="7"/>
      <c r="TW29" s="7"/>
      <c r="TX29" s="7"/>
      <c r="TY29" s="7"/>
      <c r="TZ29" s="7"/>
      <c r="UA29" s="7"/>
      <c r="UB29" s="7"/>
      <c r="UC29" s="7"/>
      <c r="UD29" s="7"/>
      <c r="UE29" s="7"/>
      <c r="UF29" s="7"/>
      <c r="UG29" s="7"/>
      <c r="UH29" s="7"/>
      <c r="UI29" s="7"/>
      <c r="UJ29" s="7"/>
      <c r="UK29" s="7"/>
      <c r="UL29" s="7"/>
      <c r="UM29" s="7"/>
      <c r="UN29" s="7"/>
      <c r="UO29" s="7"/>
      <c r="UP29" s="7"/>
      <c r="UQ29" s="7"/>
      <c r="UR29" s="7"/>
      <c r="US29" s="7"/>
      <c r="UT29" s="7"/>
      <c r="UU29" s="7"/>
      <c r="UV29" s="7"/>
      <c r="UW29" s="7"/>
      <c r="UX29" s="7"/>
      <c r="UY29" s="7"/>
      <c r="UZ29" s="7"/>
      <c r="VA29" s="7"/>
      <c r="VB29" s="7"/>
      <c r="VC29" s="7"/>
      <c r="VD29" s="7"/>
      <c r="VE29" s="7"/>
      <c r="VF29" s="7"/>
      <c r="VG29" s="7"/>
      <c r="VH29" s="7"/>
      <c r="VI29" s="7"/>
      <c r="VJ29" s="7"/>
      <c r="VK29" s="7"/>
      <c r="VL29" s="7"/>
      <c r="VM29" s="7"/>
      <c r="VN29" s="7"/>
      <c r="VO29" s="7"/>
      <c r="VP29" s="7"/>
      <c r="VQ29" s="7"/>
      <c r="VR29" s="7"/>
      <c r="VS29" s="7"/>
      <c r="VT29" s="7"/>
      <c r="VU29" s="7"/>
      <c r="VV29" s="7"/>
      <c r="VW29" s="7"/>
      <c r="VX29" s="7"/>
      <c r="VY29" s="7"/>
      <c r="VZ29" s="7"/>
      <c r="WA29" s="7"/>
      <c r="WB29" s="7"/>
      <c r="WC29" s="7"/>
      <c r="WD29" s="7"/>
      <c r="WE29" s="7"/>
      <c r="WF29" s="7"/>
      <c r="WG29" s="7"/>
      <c r="WH29" s="7"/>
      <c r="WI29" s="7"/>
      <c r="WJ29" s="7"/>
      <c r="WK29" s="7"/>
      <c r="WL29" s="7"/>
      <c r="WM29" s="7"/>
      <c r="WN29" s="7"/>
      <c r="WO29" s="7"/>
      <c r="WP29" s="7"/>
      <c r="WQ29" s="7"/>
      <c r="WR29" s="7"/>
      <c r="WS29" s="7"/>
      <c r="WT29" s="7"/>
      <c r="WU29" s="7"/>
      <c r="WV29" s="7"/>
      <c r="WW29" s="7"/>
      <c r="WX29" s="7"/>
      <c r="WY29" s="7"/>
      <c r="WZ29" s="7"/>
      <c r="XA29" s="7"/>
      <c r="XB29" s="7"/>
      <c r="XC29" s="7"/>
      <c r="XD29" s="7"/>
      <c r="XE29" s="7"/>
      <c r="XF29" s="7"/>
      <c r="XG29" s="7"/>
      <c r="XH29" s="7"/>
      <c r="XI29" s="7"/>
      <c r="XJ29" s="7"/>
      <c r="XK29" s="7"/>
      <c r="XL29" s="7"/>
      <c r="XM29" s="7"/>
      <c r="XN29" s="7"/>
      <c r="XO29" s="7"/>
      <c r="XP29" s="7"/>
      <c r="XQ29" s="7"/>
      <c r="XR29" s="7"/>
      <c r="XS29" s="7"/>
      <c r="XT29" s="7"/>
      <c r="XU29" s="7"/>
      <c r="XV29" s="7"/>
      <c r="XW29" s="7"/>
      <c r="XX29" s="7"/>
      <c r="XY29" s="7"/>
      <c r="XZ29" s="7"/>
      <c r="YA29" s="7"/>
      <c r="YB29" s="7"/>
      <c r="YC29" s="7"/>
      <c r="YD29" s="7"/>
      <c r="YE29" s="7"/>
      <c r="YF29" s="7"/>
      <c r="YG29" s="7"/>
      <c r="YH29" s="7"/>
      <c r="YI29" s="7"/>
      <c r="YJ29" s="7"/>
      <c r="YK29" s="7"/>
      <c r="YL29" s="7"/>
      <c r="YM29" s="7"/>
      <c r="YN29" s="7"/>
      <c r="YO29" s="7"/>
      <c r="YP29" s="7"/>
      <c r="YQ29" s="7"/>
      <c r="YR29" s="7"/>
      <c r="YS29" s="7"/>
      <c r="YT29" s="7"/>
      <c r="YU29" s="7"/>
      <c r="YV29" s="7"/>
      <c r="YW29" s="7"/>
      <c r="YX29" s="7"/>
      <c r="YY29" s="7"/>
      <c r="YZ29" s="7"/>
      <c r="ZA29" s="7"/>
      <c r="ZB29" s="7"/>
      <c r="ZC29" s="7"/>
      <c r="ZD29" s="7"/>
      <c r="ZE29" s="7"/>
      <c r="ZF29" s="7"/>
      <c r="ZG29" s="7"/>
      <c r="ZH29" s="7"/>
      <c r="ZI29" s="7"/>
      <c r="ZJ29" s="7"/>
      <c r="ZK29" s="7"/>
      <c r="ZL29" s="7"/>
      <c r="ZM29" s="7"/>
      <c r="ZN29" s="7"/>
      <c r="ZO29" s="7"/>
      <c r="ZP29" s="7"/>
      <c r="ZQ29" s="7"/>
      <c r="ZR29" s="7"/>
      <c r="ZS29" s="7"/>
      <c r="ZT29" s="7"/>
      <c r="ZU29" s="7"/>
      <c r="ZV29" s="7"/>
      <c r="ZW29" s="7"/>
      <c r="ZX29" s="7"/>
      <c r="ZY29" s="7"/>
      <c r="ZZ29" s="7"/>
      <c r="AAA29" s="7"/>
      <c r="AAB29" s="7"/>
      <c r="AAC29" s="7"/>
      <c r="AAD29" s="7"/>
      <c r="AAE29" s="7"/>
      <c r="AAF29" s="7"/>
      <c r="AAG29" s="7"/>
      <c r="AAH29" s="7"/>
      <c r="AAI29" s="7"/>
      <c r="AAJ29" s="7"/>
      <c r="AAK29" s="7"/>
      <c r="AAL29" s="7"/>
      <c r="AAM29" s="7"/>
      <c r="AAN29" s="7"/>
      <c r="AAO29" s="7"/>
      <c r="AAP29" s="7"/>
      <c r="AAQ29" s="7"/>
      <c r="AAR29" s="7"/>
      <c r="AAS29" s="7"/>
      <c r="AAT29" s="7"/>
      <c r="AAU29" s="7"/>
      <c r="AAV29" s="7"/>
      <c r="AAW29" s="7"/>
      <c r="AAX29" s="7"/>
      <c r="AAY29" s="7"/>
      <c r="AAZ29" s="7"/>
      <c r="ABA29" s="7"/>
      <c r="ABB29" s="7"/>
      <c r="ABC29" s="7"/>
      <c r="ABD29" s="7"/>
      <c r="ABE29" s="7"/>
      <c r="ABF29" s="7"/>
      <c r="ABG29" s="7"/>
      <c r="ABH29" s="7"/>
      <c r="ABI29" s="7"/>
      <c r="ABJ29" s="7"/>
      <c r="ABK29" s="7"/>
      <c r="ABL29" s="7"/>
      <c r="ABM29" s="7"/>
      <c r="ABN29" s="7"/>
      <c r="ABO29" s="7"/>
      <c r="ABP29" s="7"/>
      <c r="ABQ29" s="7"/>
      <c r="ABR29" s="7"/>
      <c r="ABS29" s="7"/>
      <c r="ABT29" s="7"/>
      <c r="ABU29" s="7"/>
      <c r="ABV29" s="7"/>
      <c r="ABW29" s="7"/>
      <c r="ABX29" s="7"/>
      <c r="ABY29" s="7"/>
      <c r="ABZ29" s="7"/>
      <c r="ACA29" s="7"/>
      <c r="ACB29" s="7"/>
      <c r="ACC29" s="7"/>
      <c r="ACD29" s="7"/>
      <c r="ACE29" s="7"/>
      <c r="ACF29" s="7"/>
      <c r="ACG29" s="7"/>
      <c r="ACH29" s="7"/>
      <c r="ACI29" s="7"/>
      <c r="ACJ29" s="7"/>
      <c r="ACK29" s="7"/>
      <c r="ACL29" s="7"/>
      <c r="ACM29" s="7"/>
      <c r="ACN29" s="7"/>
      <c r="ACO29" s="7"/>
      <c r="ACP29" s="7"/>
      <c r="ACQ29" s="7"/>
      <c r="ACR29" s="7"/>
      <c r="ACS29" s="7"/>
      <c r="ACT29" s="7"/>
      <c r="ACU29" s="7"/>
      <c r="ACV29" s="7"/>
      <c r="ACW29" s="7"/>
      <c r="ACX29" s="7"/>
      <c r="ACY29" s="7"/>
      <c r="ACZ29" s="7"/>
      <c r="ADA29" s="7"/>
      <c r="ADB29" s="7"/>
      <c r="ADC29" s="7"/>
      <c r="ADD29" s="7"/>
      <c r="ADE29" s="7"/>
      <c r="ADF29" s="7"/>
      <c r="ADG29" s="7"/>
      <c r="ADH29" s="7"/>
      <c r="ADI29" s="7"/>
      <c r="ADJ29" s="7"/>
      <c r="ADK29" s="7"/>
      <c r="ADL29" s="7"/>
      <c r="ADM29" s="7"/>
      <c r="ADN29" s="7"/>
      <c r="ADO29" s="7"/>
      <c r="ADP29" s="7"/>
      <c r="ADQ29" s="7"/>
      <c r="ADR29" s="7"/>
      <c r="ADS29" s="7"/>
      <c r="ADT29" s="7"/>
      <c r="ADU29" s="7"/>
      <c r="ADV29" s="7"/>
      <c r="ADW29" s="7"/>
      <c r="ADX29" s="7"/>
      <c r="ADY29" s="7"/>
      <c r="ADZ29" s="7"/>
      <c r="AEA29" s="7"/>
      <c r="AEB29" s="7"/>
      <c r="AEC29" s="7"/>
      <c r="AED29" s="7"/>
      <c r="AEE29" s="7"/>
      <c r="AEF29" s="7"/>
      <c r="AEG29" s="7"/>
      <c r="AEH29" s="7"/>
      <c r="AEI29" s="7"/>
      <c r="AEJ29" s="7"/>
      <c r="AEK29" s="7"/>
      <c r="AEL29" s="7"/>
      <c r="AEM29" s="7"/>
      <c r="AEN29" s="7"/>
      <c r="AEO29" s="7"/>
      <c r="AEP29" s="7"/>
      <c r="AEQ29" s="7"/>
      <c r="AER29" s="7"/>
      <c r="AES29" s="7"/>
      <c r="AET29" s="7"/>
      <c r="AEU29" s="7"/>
      <c r="AEV29" s="7"/>
      <c r="AEW29" s="7"/>
      <c r="AEX29" s="7"/>
      <c r="AEY29" s="7"/>
      <c r="AEZ29" s="7"/>
      <c r="AFA29" s="7"/>
      <c r="AFB29" s="7"/>
      <c r="AFC29" s="7"/>
      <c r="AFD29" s="7"/>
      <c r="AFE29" s="7"/>
      <c r="AFF29" s="7"/>
      <c r="AFG29" s="7"/>
      <c r="AFH29" s="7"/>
      <c r="AFI29" s="7"/>
      <c r="AFJ29" s="7"/>
      <c r="AFK29" s="7"/>
      <c r="AFL29" s="7"/>
      <c r="AFM29" s="7"/>
      <c r="AFN29" s="7"/>
      <c r="AFO29" s="7"/>
      <c r="AFP29" s="7"/>
      <c r="AFQ29" s="7"/>
      <c r="AFR29" s="7"/>
      <c r="AFS29" s="7"/>
      <c r="AFT29" s="7"/>
      <c r="AFU29" s="7"/>
      <c r="AFV29" s="7"/>
      <c r="AFW29" s="7"/>
      <c r="AFX29" s="7"/>
      <c r="AFY29" s="7"/>
      <c r="AFZ29" s="7"/>
      <c r="AGA29" s="7"/>
      <c r="AGB29" s="7"/>
      <c r="AGC29" s="7"/>
      <c r="AGD29" s="7"/>
      <c r="AGE29" s="7"/>
      <c r="AGF29" s="7"/>
      <c r="AGG29" s="7"/>
      <c r="AGH29" s="7"/>
      <c r="AGI29" s="7"/>
      <c r="AGJ29" s="7"/>
      <c r="AGK29" s="7"/>
      <c r="AGL29" s="7"/>
      <c r="AGM29" s="7"/>
      <c r="AGN29" s="7"/>
      <c r="AGO29" s="7"/>
      <c r="AGP29" s="7"/>
      <c r="AGQ29" s="7"/>
      <c r="AGR29" s="7"/>
      <c r="AGS29" s="7"/>
      <c r="AGT29" s="7"/>
      <c r="AGU29" s="7"/>
      <c r="AGV29" s="7"/>
      <c r="AGW29" s="7"/>
      <c r="AGX29" s="7"/>
      <c r="AGY29" s="7"/>
      <c r="AGZ29" s="7"/>
      <c r="AHA29" s="7"/>
      <c r="AHB29" s="7"/>
      <c r="AHC29" s="7"/>
      <c r="AHD29" s="7"/>
      <c r="AHE29" s="7"/>
      <c r="AHF29" s="7"/>
      <c r="AHG29" s="7"/>
      <c r="AHH29" s="7"/>
      <c r="AHI29" s="7"/>
      <c r="AHJ29" s="7"/>
      <c r="AHK29" s="7"/>
      <c r="AHL29" s="7"/>
      <c r="AHM29" s="7"/>
      <c r="AHN29" s="7"/>
      <c r="AHO29" s="7"/>
      <c r="AHP29" s="7"/>
      <c r="AHQ29" s="7"/>
      <c r="AHR29" s="7"/>
      <c r="AHS29" s="7"/>
      <c r="AHT29" s="7"/>
      <c r="AHU29" s="7"/>
      <c r="AHV29" s="7"/>
      <c r="AHW29" s="7"/>
      <c r="AHX29" s="7"/>
      <c r="AHY29" s="7"/>
      <c r="AHZ29" s="7"/>
      <c r="AIA29" s="7"/>
      <c r="AIB29" s="7"/>
      <c r="AIC29" s="7"/>
      <c r="AID29" s="7"/>
      <c r="AIE29" s="7"/>
      <c r="AIF29" s="7"/>
      <c r="AIG29" s="7"/>
      <c r="AIH29" s="7"/>
      <c r="AII29" s="7"/>
      <c r="AIJ29" s="7"/>
      <c r="AIK29" s="7"/>
      <c r="AIL29" s="7"/>
      <c r="AIM29" s="7"/>
      <c r="AIN29" s="7"/>
      <c r="AIO29" s="7"/>
      <c r="AIP29" s="7"/>
      <c r="AIQ29" s="7"/>
      <c r="AIR29" s="7"/>
      <c r="AIS29" s="7"/>
      <c r="AIT29" s="7"/>
      <c r="AIU29" s="7"/>
      <c r="AIV29" s="7"/>
      <c r="AIW29" s="7"/>
      <c r="AIX29" s="7"/>
      <c r="AIY29" s="7"/>
      <c r="AIZ29" s="7"/>
      <c r="AJA29" s="7"/>
      <c r="AJB29" s="7"/>
      <c r="AJC29" s="7"/>
      <c r="AJD29" s="7"/>
      <c r="AJE29" s="7"/>
      <c r="AJF29" s="7"/>
      <c r="AJG29" s="7"/>
      <c r="AJH29" s="7"/>
      <c r="AJI29" s="7"/>
      <c r="AJJ29" s="7"/>
      <c r="AJK29" s="7"/>
      <c r="AJL29" s="7"/>
      <c r="AJM29" s="7"/>
      <c r="AJN29" s="7"/>
      <c r="AJO29" s="7"/>
      <c r="AJP29" s="7"/>
      <c r="AJQ29" s="7"/>
      <c r="AJR29" s="7"/>
      <c r="AJS29" s="7"/>
      <c r="AJT29" s="7"/>
      <c r="AJU29" s="7"/>
      <c r="AJV29" s="7"/>
      <c r="AJW29" s="7"/>
      <c r="AJX29" s="7"/>
      <c r="AJY29" s="7"/>
      <c r="AJZ29" s="7"/>
      <c r="AKA29" s="7"/>
      <c r="AKB29" s="7"/>
      <c r="AKC29" s="7"/>
      <c r="AKD29" s="7"/>
      <c r="AKE29" s="7"/>
      <c r="AKF29" s="7"/>
      <c r="AKG29" s="7"/>
      <c r="AKH29" s="7"/>
      <c r="AKI29" s="7"/>
      <c r="AKJ29" s="7"/>
      <c r="AKK29" s="7"/>
      <c r="AKL29" s="7"/>
      <c r="AKM29" s="7"/>
      <c r="AKN29" s="7"/>
      <c r="AKO29" s="7"/>
      <c r="AKP29" s="7"/>
      <c r="AKQ29" s="7"/>
      <c r="AKR29" s="7"/>
      <c r="AKS29" s="7"/>
      <c r="AKT29" s="7"/>
      <c r="AKU29" s="7"/>
      <c r="AKV29" s="7"/>
      <c r="AKW29" s="7"/>
      <c r="AKX29" s="7"/>
      <c r="AKY29" s="7"/>
      <c r="AKZ29" s="7"/>
      <c r="ALA29" s="7"/>
      <c r="ALB29" s="7"/>
      <c r="ALC29" s="7"/>
      <c r="ALD29" s="7"/>
      <c r="ALE29" s="7"/>
      <c r="ALF29" s="7"/>
      <c r="ALG29" s="7"/>
      <c r="ALH29" s="7"/>
      <c r="ALI29" s="7"/>
      <c r="ALJ29" s="7"/>
      <c r="ALK29" s="7"/>
      <c r="ALL29" s="7"/>
      <c r="ALM29" s="7"/>
      <c r="ALN29" s="7"/>
      <c r="ALO29" s="7"/>
      <c r="ALP29" s="7"/>
      <c r="ALQ29" s="7"/>
      <c r="ALR29" s="7"/>
      <c r="ALS29" s="7"/>
      <c r="ALT29" s="7"/>
      <c r="ALU29" s="7"/>
      <c r="ALV29" s="7"/>
      <c r="ALW29" s="7"/>
      <c r="ALX29" s="7"/>
      <c r="ALY29" s="7"/>
      <c r="ALZ29" s="7"/>
      <c r="AMA29" s="7"/>
      <c r="AMB29" s="7"/>
      <c r="AMC29" s="7"/>
      <c r="AMD29" s="7"/>
      <c r="AME29" s="7"/>
      <c r="AMF29" s="7"/>
      <c r="AMG29" s="7"/>
      <c r="AMH29" s="7"/>
      <c r="AMI29" s="7"/>
      <c r="AMJ29" s="7"/>
      <c r="AMK29" s="7"/>
    </row>
    <row r="30" spans="1:1025">
      <c r="B30" s="109" t="s">
        <v>141</v>
      </c>
      <c r="C30" s="110"/>
      <c r="D30" s="110"/>
      <c r="E30" s="110"/>
      <c r="F30" s="110"/>
      <c r="G30" s="110"/>
      <c r="H30" s="110"/>
      <c r="I30" s="110"/>
      <c r="J30" s="111"/>
    </row>
    <row r="31" spans="1:1025" s="4" customFormat="1" ht="40.5" customHeight="1">
      <c r="A31" s="7"/>
      <c r="B31" s="115" t="s">
        <v>216</v>
      </c>
      <c r="C31" s="116"/>
      <c r="D31" s="116"/>
      <c r="E31" s="116"/>
      <c r="F31" s="116"/>
      <c r="G31" s="116"/>
      <c r="H31" s="116"/>
      <c r="I31" s="116"/>
      <c r="J31" s="117"/>
      <c r="K31" s="18"/>
      <c r="L31" s="7"/>
      <c r="M31" s="7"/>
      <c r="N31" s="7"/>
      <c r="O31" s="7"/>
      <c r="P31" s="7"/>
      <c r="Q31" s="7"/>
      <c r="R31" s="7"/>
      <c r="S31" s="7"/>
      <c r="T31" s="7"/>
      <c r="U31" s="7"/>
      <c r="V31" s="7"/>
      <c r="W31" s="7"/>
      <c r="X31" s="7"/>
      <c r="Y31" s="7"/>
      <c r="Z31" s="7"/>
      <c r="AA31" s="7"/>
      <c r="AB31" s="7"/>
      <c r="AC31" s="7"/>
      <c r="AD31" s="7"/>
      <c r="AE31" s="7"/>
      <c r="AF31" s="7"/>
      <c r="AG31" s="7"/>
      <c r="AH31" s="7"/>
      <c r="AI31" s="7"/>
      <c r="AJ31" s="7"/>
      <c r="AK31" s="7"/>
      <c r="AL31" s="7"/>
      <c r="AM31" s="7"/>
      <c r="AN31" s="7"/>
      <c r="AO31" s="7"/>
      <c r="AP31" s="7"/>
      <c r="AQ31" s="7"/>
      <c r="AR31" s="7"/>
      <c r="AS31" s="7"/>
      <c r="AT31" s="7"/>
      <c r="AU31" s="7"/>
      <c r="AV31" s="7"/>
      <c r="AW31" s="7"/>
      <c r="AX31" s="7"/>
      <c r="AY31" s="7"/>
      <c r="AZ31" s="7"/>
      <c r="BA31" s="7"/>
      <c r="BB31" s="7"/>
      <c r="BC31" s="7"/>
      <c r="BD31" s="7"/>
      <c r="BE31" s="7"/>
      <c r="BF31" s="7"/>
      <c r="BG31" s="7"/>
      <c r="BH31" s="7"/>
      <c r="BI31" s="7"/>
      <c r="BJ31" s="7"/>
      <c r="BK31" s="7"/>
      <c r="BL31" s="7"/>
      <c r="BM31" s="7"/>
      <c r="BN31" s="7"/>
      <c r="BO31" s="7"/>
      <c r="BP31" s="7"/>
      <c r="BQ31" s="7"/>
      <c r="BR31" s="7"/>
      <c r="BS31" s="7"/>
      <c r="BT31" s="7"/>
      <c r="BU31" s="7"/>
      <c r="BV31" s="7"/>
      <c r="BW31" s="7"/>
      <c r="BX31" s="7"/>
      <c r="BY31" s="7"/>
      <c r="BZ31" s="7"/>
      <c r="CA31" s="7"/>
      <c r="CB31" s="7"/>
      <c r="CC31" s="7"/>
      <c r="CD31" s="7"/>
      <c r="CE31" s="7"/>
      <c r="CF31" s="7"/>
      <c r="CG31" s="7"/>
      <c r="CH31" s="7"/>
      <c r="CI31" s="7"/>
      <c r="CJ31" s="7"/>
      <c r="CK31" s="7"/>
      <c r="CL31" s="7"/>
      <c r="CM31" s="7"/>
      <c r="CN31" s="7"/>
      <c r="CO31" s="7"/>
      <c r="CP31" s="7"/>
      <c r="CQ31" s="7"/>
      <c r="CR31" s="7"/>
      <c r="CS31" s="7"/>
      <c r="CT31" s="7"/>
      <c r="CU31" s="7"/>
      <c r="CV31" s="7"/>
      <c r="CW31" s="7"/>
      <c r="CX31" s="7"/>
      <c r="CY31" s="7"/>
      <c r="CZ31" s="7"/>
      <c r="DA31" s="7"/>
      <c r="DB31" s="7"/>
      <c r="DC31" s="7"/>
      <c r="DD31" s="7"/>
      <c r="DE31" s="7"/>
      <c r="DF31" s="7"/>
      <c r="DG31" s="7"/>
      <c r="DH31" s="7"/>
      <c r="DI31" s="7"/>
      <c r="DJ31" s="7"/>
      <c r="DK31" s="7"/>
      <c r="DL31" s="7"/>
      <c r="DM31" s="7"/>
      <c r="DN31" s="7"/>
      <c r="DO31" s="7"/>
      <c r="DP31" s="7"/>
      <c r="DQ31" s="7"/>
      <c r="DR31" s="7"/>
      <c r="DS31" s="7"/>
      <c r="DT31" s="7"/>
      <c r="DU31" s="7"/>
      <c r="DV31" s="7"/>
      <c r="DW31" s="7"/>
      <c r="DX31" s="7"/>
      <c r="DY31" s="7"/>
      <c r="DZ31" s="7"/>
      <c r="EA31" s="7"/>
      <c r="EB31" s="7"/>
      <c r="EC31" s="7"/>
      <c r="ED31" s="7"/>
      <c r="EE31" s="7"/>
      <c r="EF31" s="7"/>
      <c r="EG31" s="7"/>
      <c r="EH31" s="7"/>
      <c r="EI31" s="7"/>
      <c r="EJ31" s="7"/>
      <c r="EK31" s="7"/>
      <c r="EL31" s="7"/>
      <c r="EM31" s="7"/>
      <c r="EN31" s="7"/>
      <c r="EO31" s="7"/>
      <c r="EP31" s="7"/>
      <c r="EQ31" s="7"/>
      <c r="ER31" s="7"/>
      <c r="ES31" s="7"/>
      <c r="ET31" s="7"/>
      <c r="EU31" s="7"/>
      <c r="EV31" s="7"/>
      <c r="EW31" s="7"/>
      <c r="EX31" s="7"/>
      <c r="EY31" s="7"/>
      <c r="EZ31" s="7"/>
      <c r="FA31" s="7"/>
      <c r="FB31" s="7"/>
      <c r="FC31" s="7"/>
      <c r="FD31" s="7"/>
      <c r="FE31" s="7"/>
      <c r="FF31" s="7"/>
      <c r="FG31" s="7"/>
      <c r="FH31" s="7"/>
      <c r="FI31" s="7"/>
      <c r="FJ31" s="7"/>
      <c r="FK31" s="7"/>
      <c r="FL31" s="7"/>
      <c r="FM31" s="7"/>
      <c r="FN31" s="7"/>
      <c r="FO31" s="7"/>
      <c r="FP31" s="7"/>
      <c r="FQ31" s="7"/>
      <c r="FR31" s="7"/>
      <c r="FS31" s="7"/>
      <c r="FT31" s="7"/>
      <c r="FU31" s="7"/>
      <c r="FV31" s="7"/>
      <c r="FW31" s="7"/>
      <c r="FX31" s="7"/>
      <c r="FY31" s="7"/>
      <c r="FZ31" s="7"/>
      <c r="GA31" s="7"/>
      <c r="GB31" s="7"/>
      <c r="GC31" s="7"/>
      <c r="GD31" s="7"/>
      <c r="GE31" s="7"/>
      <c r="GF31" s="7"/>
      <c r="GG31" s="7"/>
      <c r="GH31" s="7"/>
      <c r="GI31" s="7"/>
      <c r="GJ31" s="7"/>
      <c r="GK31" s="7"/>
      <c r="GL31" s="7"/>
      <c r="GM31" s="7"/>
      <c r="GN31" s="7"/>
      <c r="GO31" s="7"/>
      <c r="GP31" s="7"/>
      <c r="GQ31" s="7"/>
      <c r="GR31" s="7"/>
      <c r="GS31" s="7"/>
      <c r="GT31" s="7"/>
      <c r="GU31" s="7"/>
      <c r="GV31" s="7"/>
      <c r="GW31" s="7"/>
      <c r="GX31" s="7"/>
      <c r="GY31" s="7"/>
      <c r="GZ31" s="7"/>
      <c r="HA31" s="7"/>
      <c r="HB31" s="7"/>
      <c r="HC31" s="7"/>
      <c r="HD31" s="7"/>
      <c r="HE31" s="7"/>
      <c r="HF31" s="7"/>
      <c r="HG31" s="7"/>
      <c r="HH31" s="7"/>
      <c r="HI31" s="7"/>
      <c r="HJ31" s="7"/>
      <c r="HK31" s="7"/>
      <c r="HL31" s="7"/>
      <c r="HM31" s="7"/>
      <c r="HN31" s="7"/>
      <c r="HO31" s="7"/>
      <c r="HP31" s="7"/>
      <c r="HQ31" s="7"/>
      <c r="HR31" s="7"/>
      <c r="HS31" s="7"/>
      <c r="HT31" s="7"/>
      <c r="HU31" s="7"/>
      <c r="HV31" s="7"/>
      <c r="HW31" s="7"/>
      <c r="HX31" s="7"/>
      <c r="HY31" s="7"/>
      <c r="HZ31" s="7"/>
      <c r="IA31" s="7"/>
      <c r="IB31" s="7"/>
      <c r="IC31" s="7"/>
      <c r="ID31" s="7"/>
      <c r="IE31" s="7"/>
      <c r="IF31" s="7"/>
      <c r="IG31" s="7"/>
      <c r="IH31" s="7"/>
      <c r="II31" s="7"/>
      <c r="IJ31" s="7"/>
      <c r="IK31" s="7"/>
      <c r="IL31" s="7"/>
      <c r="IM31" s="7"/>
      <c r="IN31" s="7"/>
      <c r="IO31" s="7"/>
      <c r="IP31" s="7"/>
      <c r="IQ31" s="7"/>
      <c r="IR31" s="7"/>
      <c r="IS31" s="7"/>
      <c r="IT31" s="7"/>
      <c r="IU31" s="7"/>
      <c r="IV31" s="7"/>
      <c r="IW31" s="7"/>
      <c r="IX31" s="7"/>
      <c r="IY31" s="7"/>
      <c r="IZ31" s="7"/>
      <c r="JA31" s="7"/>
      <c r="JB31" s="7"/>
      <c r="JC31" s="7"/>
      <c r="JD31" s="7"/>
      <c r="JE31" s="7"/>
      <c r="JF31" s="7"/>
      <c r="JG31" s="7"/>
      <c r="JH31" s="7"/>
      <c r="JI31" s="7"/>
      <c r="JJ31" s="7"/>
      <c r="JK31" s="7"/>
      <c r="JL31" s="7"/>
      <c r="JM31" s="7"/>
      <c r="JN31" s="7"/>
      <c r="JO31" s="7"/>
      <c r="JP31" s="7"/>
      <c r="JQ31" s="7"/>
      <c r="JR31" s="7"/>
      <c r="JS31" s="7"/>
      <c r="JT31" s="7"/>
      <c r="JU31" s="7"/>
      <c r="JV31" s="7"/>
      <c r="JW31" s="7"/>
      <c r="JX31" s="7"/>
      <c r="JY31" s="7"/>
      <c r="JZ31" s="7"/>
      <c r="KA31" s="7"/>
      <c r="KB31" s="7"/>
      <c r="KC31" s="7"/>
      <c r="KD31" s="7"/>
      <c r="KE31" s="7"/>
      <c r="KF31" s="7"/>
      <c r="KG31" s="7"/>
      <c r="KH31" s="7"/>
      <c r="KI31" s="7"/>
      <c r="KJ31" s="7"/>
      <c r="KK31" s="7"/>
      <c r="KL31" s="7"/>
      <c r="KM31" s="7"/>
      <c r="KN31" s="7"/>
      <c r="KO31" s="7"/>
      <c r="KP31" s="7"/>
      <c r="KQ31" s="7"/>
      <c r="KR31" s="7"/>
      <c r="KS31" s="7"/>
      <c r="KT31" s="7"/>
      <c r="KU31" s="7"/>
      <c r="KV31" s="7"/>
      <c r="KW31" s="7"/>
      <c r="KX31" s="7"/>
      <c r="KY31" s="7"/>
      <c r="KZ31" s="7"/>
      <c r="LA31" s="7"/>
      <c r="LB31" s="7"/>
      <c r="LC31" s="7"/>
      <c r="LD31" s="7"/>
      <c r="LE31" s="7"/>
      <c r="LF31" s="7"/>
      <c r="LG31" s="7"/>
      <c r="LH31" s="7"/>
      <c r="LI31" s="7"/>
      <c r="LJ31" s="7"/>
      <c r="LK31" s="7"/>
      <c r="LL31" s="7"/>
      <c r="LM31" s="7"/>
      <c r="LN31" s="7"/>
      <c r="LO31" s="7"/>
      <c r="LP31" s="7"/>
      <c r="LQ31" s="7"/>
      <c r="LR31" s="7"/>
      <c r="LS31" s="7"/>
      <c r="LT31" s="7"/>
      <c r="LU31" s="7"/>
      <c r="LV31" s="7"/>
      <c r="LW31" s="7"/>
      <c r="LX31" s="7"/>
      <c r="LY31" s="7"/>
      <c r="LZ31" s="7"/>
      <c r="MA31" s="7"/>
      <c r="MB31" s="7"/>
      <c r="MC31" s="7"/>
      <c r="MD31" s="7"/>
      <c r="ME31" s="7"/>
      <c r="MF31" s="7"/>
      <c r="MG31" s="7"/>
      <c r="MH31" s="7"/>
      <c r="MI31" s="7"/>
      <c r="MJ31" s="7"/>
      <c r="MK31" s="7"/>
      <c r="ML31" s="7"/>
      <c r="MM31" s="7"/>
      <c r="MN31" s="7"/>
      <c r="MO31" s="7"/>
      <c r="MP31" s="7"/>
      <c r="MQ31" s="7"/>
      <c r="MR31" s="7"/>
      <c r="MS31" s="7"/>
      <c r="MT31" s="7"/>
      <c r="MU31" s="7"/>
      <c r="MV31" s="7"/>
      <c r="MW31" s="7"/>
      <c r="MX31" s="7"/>
      <c r="MY31" s="7"/>
      <c r="MZ31" s="7"/>
      <c r="NA31" s="7"/>
      <c r="NB31" s="7"/>
      <c r="NC31" s="7"/>
      <c r="ND31" s="7"/>
      <c r="NE31" s="7"/>
      <c r="NF31" s="7"/>
      <c r="NG31" s="7"/>
      <c r="NH31" s="7"/>
      <c r="NI31" s="7"/>
      <c r="NJ31" s="7"/>
      <c r="NK31" s="7"/>
      <c r="NL31" s="7"/>
      <c r="NM31" s="7"/>
      <c r="NN31" s="7"/>
      <c r="NO31" s="7"/>
      <c r="NP31" s="7"/>
      <c r="NQ31" s="7"/>
      <c r="NR31" s="7"/>
      <c r="NS31" s="7"/>
      <c r="NT31" s="7"/>
      <c r="NU31" s="7"/>
      <c r="NV31" s="7"/>
      <c r="NW31" s="7"/>
      <c r="NX31" s="7"/>
      <c r="NY31" s="7"/>
      <c r="NZ31" s="7"/>
      <c r="OA31" s="7"/>
      <c r="OB31" s="7"/>
      <c r="OC31" s="7"/>
      <c r="OD31" s="7"/>
      <c r="OE31" s="7"/>
      <c r="OF31" s="7"/>
      <c r="OG31" s="7"/>
      <c r="OH31" s="7"/>
      <c r="OI31" s="7"/>
      <c r="OJ31" s="7"/>
      <c r="OK31" s="7"/>
      <c r="OL31" s="7"/>
      <c r="OM31" s="7"/>
      <c r="ON31" s="7"/>
      <c r="OO31" s="7"/>
      <c r="OP31" s="7"/>
      <c r="OQ31" s="7"/>
      <c r="OR31" s="7"/>
      <c r="OS31" s="7"/>
      <c r="OT31" s="7"/>
      <c r="OU31" s="7"/>
      <c r="OV31" s="7"/>
      <c r="OW31" s="7"/>
      <c r="OX31" s="7"/>
      <c r="OY31" s="7"/>
      <c r="OZ31" s="7"/>
      <c r="PA31" s="7"/>
      <c r="PB31" s="7"/>
      <c r="PC31" s="7"/>
      <c r="PD31" s="7"/>
      <c r="PE31" s="7"/>
      <c r="PF31" s="7"/>
      <c r="PG31" s="7"/>
      <c r="PH31" s="7"/>
      <c r="PI31" s="7"/>
      <c r="PJ31" s="7"/>
      <c r="PK31" s="7"/>
      <c r="PL31" s="7"/>
      <c r="PM31" s="7"/>
      <c r="PN31" s="7"/>
      <c r="PO31" s="7"/>
      <c r="PP31" s="7"/>
      <c r="PQ31" s="7"/>
      <c r="PR31" s="7"/>
      <c r="PS31" s="7"/>
      <c r="PT31" s="7"/>
      <c r="PU31" s="7"/>
      <c r="PV31" s="7"/>
      <c r="PW31" s="7"/>
      <c r="PX31" s="7"/>
      <c r="PY31" s="7"/>
      <c r="PZ31" s="7"/>
      <c r="QA31" s="7"/>
      <c r="QB31" s="7"/>
      <c r="QC31" s="7"/>
      <c r="QD31" s="7"/>
      <c r="QE31" s="7"/>
      <c r="QF31" s="7"/>
      <c r="QG31" s="7"/>
      <c r="QH31" s="7"/>
      <c r="QI31" s="7"/>
      <c r="QJ31" s="7"/>
      <c r="QK31" s="7"/>
      <c r="QL31" s="7"/>
      <c r="QM31" s="7"/>
      <c r="QN31" s="7"/>
      <c r="QO31" s="7"/>
      <c r="QP31" s="7"/>
      <c r="QQ31" s="7"/>
      <c r="QR31" s="7"/>
      <c r="QS31" s="7"/>
      <c r="QT31" s="7"/>
      <c r="QU31" s="7"/>
      <c r="QV31" s="7"/>
      <c r="QW31" s="7"/>
      <c r="QX31" s="7"/>
      <c r="QY31" s="7"/>
      <c r="QZ31" s="7"/>
      <c r="RA31" s="7"/>
      <c r="RB31" s="7"/>
      <c r="RC31" s="7"/>
      <c r="RD31" s="7"/>
      <c r="RE31" s="7"/>
      <c r="RF31" s="7"/>
      <c r="RG31" s="7"/>
      <c r="RH31" s="7"/>
      <c r="RI31" s="7"/>
      <c r="RJ31" s="7"/>
      <c r="RK31" s="7"/>
      <c r="RL31" s="7"/>
      <c r="RM31" s="7"/>
      <c r="RN31" s="7"/>
      <c r="RO31" s="7"/>
      <c r="RP31" s="7"/>
      <c r="RQ31" s="7"/>
      <c r="RR31" s="7"/>
      <c r="RS31" s="7"/>
      <c r="RT31" s="7"/>
      <c r="RU31" s="7"/>
      <c r="RV31" s="7"/>
      <c r="RW31" s="7"/>
      <c r="RX31" s="7"/>
      <c r="RY31" s="7"/>
      <c r="RZ31" s="7"/>
      <c r="SA31" s="7"/>
      <c r="SB31" s="7"/>
      <c r="SC31" s="7"/>
      <c r="SD31" s="7"/>
      <c r="SE31" s="7"/>
      <c r="SF31" s="7"/>
      <c r="SG31" s="7"/>
      <c r="SH31" s="7"/>
      <c r="SI31" s="7"/>
      <c r="SJ31" s="7"/>
      <c r="SK31" s="7"/>
      <c r="SL31" s="7"/>
      <c r="SM31" s="7"/>
      <c r="SN31" s="7"/>
      <c r="SO31" s="7"/>
      <c r="SP31" s="7"/>
      <c r="SQ31" s="7"/>
      <c r="SR31" s="7"/>
      <c r="SS31" s="7"/>
      <c r="ST31" s="7"/>
      <c r="SU31" s="7"/>
      <c r="SV31" s="7"/>
      <c r="SW31" s="7"/>
      <c r="SX31" s="7"/>
      <c r="SY31" s="7"/>
      <c r="SZ31" s="7"/>
      <c r="TA31" s="7"/>
      <c r="TB31" s="7"/>
      <c r="TC31" s="7"/>
      <c r="TD31" s="7"/>
      <c r="TE31" s="7"/>
      <c r="TF31" s="7"/>
      <c r="TG31" s="7"/>
      <c r="TH31" s="7"/>
      <c r="TI31" s="7"/>
      <c r="TJ31" s="7"/>
      <c r="TK31" s="7"/>
      <c r="TL31" s="7"/>
      <c r="TM31" s="7"/>
      <c r="TN31" s="7"/>
      <c r="TO31" s="7"/>
      <c r="TP31" s="7"/>
      <c r="TQ31" s="7"/>
      <c r="TR31" s="7"/>
      <c r="TS31" s="7"/>
      <c r="TT31" s="7"/>
      <c r="TU31" s="7"/>
      <c r="TV31" s="7"/>
      <c r="TW31" s="7"/>
      <c r="TX31" s="7"/>
      <c r="TY31" s="7"/>
      <c r="TZ31" s="7"/>
      <c r="UA31" s="7"/>
      <c r="UB31" s="7"/>
      <c r="UC31" s="7"/>
      <c r="UD31" s="7"/>
      <c r="UE31" s="7"/>
      <c r="UF31" s="7"/>
      <c r="UG31" s="7"/>
      <c r="UH31" s="7"/>
      <c r="UI31" s="7"/>
      <c r="UJ31" s="7"/>
      <c r="UK31" s="7"/>
      <c r="UL31" s="7"/>
      <c r="UM31" s="7"/>
      <c r="UN31" s="7"/>
      <c r="UO31" s="7"/>
      <c r="UP31" s="7"/>
      <c r="UQ31" s="7"/>
      <c r="UR31" s="7"/>
      <c r="US31" s="7"/>
      <c r="UT31" s="7"/>
      <c r="UU31" s="7"/>
      <c r="UV31" s="7"/>
      <c r="UW31" s="7"/>
      <c r="UX31" s="7"/>
      <c r="UY31" s="7"/>
      <c r="UZ31" s="7"/>
      <c r="VA31" s="7"/>
      <c r="VB31" s="7"/>
      <c r="VC31" s="7"/>
      <c r="VD31" s="7"/>
      <c r="VE31" s="7"/>
      <c r="VF31" s="7"/>
      <c r="VG31" s="7"/>
      <c r="VH31" s="7"/>
      <c r="VI31" s="7"/>
      <c r="VJ31" s="7"/>
      <c r="VK31" s="7"/>
      <c r="VL31" s="7"/>
      <c r="VM31" s="7"/>
      <c r="VN31" s="7"/>
      <c r="VO31" s="7"/>
      <c r="VP31" s="7"/>
      <c r="VQ31" s="7"/>
      <c r="VR31" s="7"/>
      <c r="VS31" s="7"/>
      <c r="VT31" s="7"/>
      <c r="VU31" s="7"/>
      <c r="VV31" s="7"/>
      <c r="VW31" s="7"/>
      <c r="VX31" s="7"/>
      <c r="VY31" s="7"/>
      <c r="VZ31" s="7"/>
      <c r="WA31" s="7"/>
      <c r="WB31" s="7"/>
      <c r="WC31" s="7"/>
      <c r="WD31" s="7"/>
      <c r="WE31" s="7"/>
      <c r="WF31" s="7"/>
      <c r="WG31" s="7"/>
      <c r="WH31" s="7"/>
      <c r="WI31" s="7"/>
      <c r="WJ31" s="7"/>
      <c r="WK31" s="7"/>
      <c r="WL31" s="7"/>
      <c r="WM31" s="7"/>
      <c r="WN31" s="7"/>
      <c r="WO31" s="7"/>
      <c r="WP31" s="7"/>
      <c r="WQ31" s="7"/>
      <c r="WR31" s="7"/>
      <c r="WS31" s="7"/>
      <c r="WT31" s="7"/>
      <c r="WU31" s="7"/>
      <c r="WV31" s="7"/>
      <c r="WW31" s="7"/>
      <c r="WX31" s="7"/>
      <c r="WY31" s="7"/>
      <c r="WZ31" s="7"/>
      <c r="XA31" s="7"/>
      <c r="XB31" s="7"/>
      <c r="XC31" s="7"/>
      <c r="XD31" s="7"/>
      <c r="XE31" s="7"/>
      <c r="XF31" s="7"/>
      <c r="XG31" s="7"/>
      <c r="XH31" s="7"/>
      <c r="XI31" s="7"/>
      <c r="XJ31" s="7"/>
      <c r="XK31" s="7"/>
      <c r="XL31" s="7"/>
      <c r="XM31" s="7"/>
      <c r="XN31" s="7"/>
      <c r="XO31" s="7"/>
      <c r="XP31" s="7"/>
      <c r="XQ31" s="7"/>
      <c r="XR31" s="7"/>
      <c r="XS31" s="7"/>
      <c r="XT31" s="7"/>
      <c r="XU31" s="7"/>
      <c r="XV31" s="7"/>
      <c r="XW31" s="7"/>
      <c r="XX31" s="7"/>
      <c r="XY31" s="7"/>
      <c r="XZ31" s="7"/>
      <c r="YA31" s="7"/>
      <c r="YB31" s="7"/>
      <c r="YC31" s="7"/>
      <c r="YD31" s="7"/>
      <c r="YE31" s="7"/>
      <c r="YF31" s="7"/>
      <c r="YG31" s="7"/>
      <c r="YH31" s="7"/>
      <c r="YI31" s="7"/>
      <c r="YJ31" s="7"/>
      <c r="YK31" s="7"/>
      <c r="YL31" s="7"/>
      <c r="YM31" s="7"/>
      <c r="YN31" s="7"/>
      <c r="YO31" s="7"/>
      <c r="YP31" s="7"/>
      <c r="YQ31" s="7"/>
      <c r="YR31" s="7"/>
      <c r="YS31" s="7"/>
      <c r="YT31" s="7"/>
      <c r="YU31" s="7"/>
      <c r="YV31" s="7"/>
      <c r="YW31" s="7"/>
      <c r="YX31" s="7"/>
      <c r="YY31" s="7"/>
      <c r="YZ31" s="7"/>
      <c r="ZA31" s="7"/>
      <c r="ZB31" s="7"/>
      <c r="ZC31" s="7"/>
      <c r="ZD31" s="7"/>
      <c r="ZE31" s="7"/>
      <c r="ZF31" s="7"/>
      <c r="ZG31" s="7"/>
      <c r="ZH31" s="7"/>
      <c r="ZI31" s="7"/>
      <c r="ZJ31" s="7"/>
      <c r="ZK31" s="7"/>
      <c r="ZL31" s="7"/>
      <c r="ZM31" s="7"/>
      <c r="ZN31" s="7"/>
      <c r="ZO31" s="7"/>
      <c r="ZP31" s="7"/>
      <c r="ZQ31" s="7"/>
      <c r="ZR31" s="7"/>
      <c r="ZS31" s="7"/>
      <c r="ZT31" s="7"/>
      <c r="ZU31" s="7"/>
      <c r="ZV31" s="7"/>
      <c r="ZW31" s="7"/>
      <c r="ZX31" s="7"/>
      <c r="ZY31" s="7"/>
      <c r="ZZ31" s="7"/>
      <c r="AAA31" s="7"/>
      <c r="AAB31" s="7"/>
      <c r="AAC31" s="7"/>
      <c r="AAD31" s="7"/>
      <c r="AAE31" s="7"/>
      <c r="AAF31" s="7"/>
      <c r="AAG31" s="7"/>
      <c r="AAH31" s="7"/>
      <c r="AAI31" s="7"/>
      <c r="AAJ31" s="7"/>
      <c r="AAK31" s="7"/>
      <c r="AAL31" s="7"/>
      <c r="AAM31" s="7"/>
      <c r="AAN31" s="7"/>
      <c r="AAO31" s="7"/>
      <c r="AAP31" s="7"/>
      <c r="AAQ31" s="7"/>
      <c r="AAR31" s="7"/>
      <c r="AAS31" s="7"/>
      <c r="AAT31" s="7"/>
      <c r="AAU31" s="7"/>
      <c r="AAV31" s="7"/>
      <c r="AAW31" s="7"/>
      <c r="AAX31" s="7"/>
      <c r="AAY31" s="7"/>
      <c r="AAZ31" s="7"/>
      <c r="ABA31" s="7"/>
      <c r="ABB31" s="7"/>
      <c r="ABC31" s="7"/>
      <c r="ABD31" s="7"/>
      <c r="ABE31" s="7"/>
      <c r="ABF31" s="7"/>
      <c r="ABG31" s="7"/>
      <c r="ABH31" s="7"/>
      <c r="ABI31" s="7"/>
      <c r="ABJ31" s="7"/>
      <c r="ABK31" s="7"/>
      <c r="ABL31" s="7"/>
      <c r="ABM31" s="7"/>
      <c r="ABN31" s="7"/>
      <c r="ABO31" s="7"/>
      <c r="ABP31" s="7"/>
      <c r="ABQ31" s="7"/>
      <c r="ABR31" s="7"/>
      <c r="ABS31" s="7"/>
      <c r="ABT31" s="7"/>
      <c r="ABU31" s="7"/>
      <c r="ABV31" s="7"/>
      <c r="ABW31" s="7"/>
      <c r="ABX31" s="7"/>
      <c r="ABY31" s="7"/>
      <c r="ABZ31" s="7"/>
      <c r="ACA31" s="7"/>
      <c r="ACB31" s="7"/>
      <c r="ACC31" s="7"/>
      <c r="ACD31" s="7"/>
      <c r="ACE31" s="7"/>
      <c r="ACF31" s="7"/>
      <c r="ACG31" s="7"/>
      <c r="ACH31" s="7"/>
      <c r="ACI31" s="7"/>
      <c r="ACJ31" s="7"/>
      <c r="ACK31" s="7"/>
      <c r="ACL31" s="7"/>
      <c r="ACM31" s="7"/>
      <c r="ACN31" s="7"/>
      <c r="ACO31" s="7"/>
      <c r="ACP31" s="7"/>
      <c r="ACQ31" s="7"/>
      <c r="ACR31" s="7"/>
      <c r="ACS31" s="7"/>
      <c r="ACT31" s="7"/>
      <c r="ACU31" s="7"/>
      <c r="ACV31" s="7"/>
      <c r="ACW31" s="7"/>
      <c r="ACX31" s="7"/>
      <c r="ACY31" s="7"/>
      <c r="ACZ31" s="7"/>
      <c r="ADA31" s="7"/>
      <c r="ADB31" s="7"/>
      <c r="ADC31" s="7"/>
      <c r="ADD31" s="7"/>
      <c r="ADE31" s="7"/>
      <c r="ADF31" s="7"/>
      <c r="ADG31" s="7"/>
      <c r="ADH31" s="7"/>
      <c r="ADI31" s="7"/>
      <c r="ADJ31" s="7"/>
      <c r="ADK31" s="7"/>
      <c r="ADL31" s="7"/>
      <c r="ADM31" s="7"/>
      <c r="ADN31" s="7"/>
      <c r="ADO31" s="7"/>
      <c r="ADP31" s="7"/>
      <c r="ADQ31" s="7"/>
      <c r="ADR31" s="7"/>
      <c r="ADS31" s="7"/>
      <c r="ADT31" s="7"/>
      <c r="ADU31" s="7"/>
      <c r="ADV31" s="7"/>
      <c r="ADW31" s="7"/>
      <c r="ADX31" s="7"/>
      <c r="ADY31" s="7"/>
      <c r="ADZ31" s="7"/>
      <c r="AEA31" s="7"/>
      <c r="AEB31" s="7"/>
      <c r="AEC31" s="7"/>
      <c r="AED31" s="7"/>
      <c r="AEE31" s="7"/>
      <c r="AEF31" s="7"/>
      <c r="AEG31" s="7"/>
      <c r="AEH31" s="7"/>
      <c r="AEI31" s="7"/>
      <c r="AEJ31" s="7"/>
      <c r="AEK31" s="7"/>
      <c r="AEL31" s="7"/>
      <c r="AEM31" s="7"/>
      <c r="AEN31" s="7"/>
      <c r="AEO31" s="7"/>
      <c r="AEP31" s="7"/>
      <c r="AEQ31" s="7"/>
      <c r="AER31" s="7"/>
      <c r="AES31" s="7"/>
      <c r="AET31" s="7"/>
      <c r="AEU31" s="7"/>
      <c r="AEV31" s="7"/>
      <c r="AEW31" s="7"/>
      <c r="AEX31" s="7"/>
      <c r="AEY31" s="7"/>
      <c r="AEZ31" s="7"/>
      <c r="AFA31" s="7"/>
      <c r="AFB31" s="7"/>
      <c r="AFC31" s="7"/>
      <c r="AFD31" s="7"/>
      <c r="AFE31" s="7"/>
      <c r="AFF31" s="7"/>
      <c r="AFG31" s="7"/>
      <c r="AFH31" s="7"/>
      <c r="AFI31" s="7"/>
      <c r="AFJ31" s="7"/>
      <c r="AFK31" s="7"/>
      <c r="AFL31" s="7"/>
      <c r="AFM31" s="7"/>
      <c r="AFN31" s="7"/>
      <c r="AFO31" s="7"/>
      <c r="AFP31" s="7"/>
      <c r="AFQ31" s="7"/>
      <c r="AFR31" s="7"/>
      <c r="AFS31" s="7"/>
      <c r="AFT31" s="7"/>
      <c r="AFU31" s="7"/>
      <c r="AFV31" s="7"/>
      <c r="AFW31" s="7"/>
      <c r="AFX31" s="7"/>
      <c r="AFY31" s="7"/>
      <c r="AFZ31" s="7"/>
      <c r="AGA31" s="7"/>
      <c r="AGB31" s="7"/>
      <c r="AGC31" s="7"/>
      <c r="AGD31" s="7"/>
      <c r="AGE31" s="7"/>
      <c r="AGF31" s="7"/>
      <c r="AGG31" s="7"/>
      <c r="AGH31" s="7"/>
      <c r="AGI31" s="7"/>
      <c r="AGJ31" s="7"/>
      <c r="AGK31" s="7"/>
      <c r="AGL31" s="7"/>
      <c r="AGM31" s="7"/>
      <c r="AGN31" s="7"/>
      <c r="AGO31" s="7"/>
      <c r="AGP31" s="7"/>
      <c r="AGQ31" s="7"/>
      <c r="AGR31" s="7"/>
      <c r="AGS31" s="7"/>
      <c r="AGT31" s="7"/>
      <c r="AGU31" s="7"/>
      <c r="AGV31" s="7"/>
      <c r="AGW31" s="7"/>
      <c r="AGX31" s="7"/>
      <c r="AGY31" s="7"/>
      <c r="AGZ31" s="7"/>
      <c r="AHA31" s="7"/>
      <c r="AHB31" s="7"/>
      <c r="AHC31" s="7"/>
      <c r="AHD31" s="7"/>
      <c r="AHE31" s="7"/>
      <c r="AHF31" s="7"/>
      <c r="AHG31" s="7"/>
      <c r="AHH31" s="7"/>
      <c r="AHI31" s="7"/>
      <c r="AHJ31" s="7"/>
      <c r="AHK31" s="7"/>
      <c r="AHL31" s="7"/>
      <c r="AHM31" s="7"/>
      <c r="AHN31" s="7"/>
      <c r="AHO31" s="7"/>
      <c r="AHP31" s="7"/>
      <c r="AHQ31" s="7"/>
      <c r="AHR31" s="7"/>
      <c r="AHS31" s="7"/>
      <c r="AHT31" s="7"/>
      <c r="AHU31" s="7"/>
      <c r="AHV31" s="7"/>
      <c r="AHW31" s="7"/>
      <c r="AHX31" s="7"/>
      <c r="AHY31" s="7"/>
      <c r="AHZ31" s="7"/>
      <c r="AIA31" s="7"/>
      <c r="AIB31" s="7"/>
      <c r="AIC31" s="7"/>
      <c r="AID31" s="7"/>
      <c r="AIE31" s="7"/>
      <c r="AIF31" s="7"/>
      <c r="AIG31" s="7"/>
      <c r="AIH31" s="7"/>
      <c r="AII31" s="7"/>
      <c r="AIJ31" s="7"/>
      <c r="AIK31" s="7"/>
      <c r="AIL31" s="7"/>
      <c r="AIM31" s="7"/>
      <c r="AIN31" s="7"/>
      <c r="AIO31" s="7"/>
      <c r="AIP31" s="7"/>
      <c r="AIQ31" s="7"/>
      <c r="AIR31" s="7"/>
      <c r="AIS31" s="7"/>
      <c r="AIT31" s="7"/>
      <c r="AIU31" s="7"/>
      <c r="AIV31" s="7"/>
      <c r="AIW31" s="7"/>
      <c r="AIX31" s="7"/>
      <c r="AIY31" s="7"/>
      <c r="AIZ31" s="7"/>
      <c r="AJA31" s="7"/>
      <c r="AJB31" s="7"/>
      <c r="AJC31" s="7"/>
      <c r="AJD31" s="7"/>
      <c r="AJE31" s="7"/>
      <c r="AJF31" s="7"/>
      <c r="AJG31" s="7"/>
      <c r="AJH31" s="7"/>
      <c r="AJI31" s="7"/>
      <c r="AJJ31" s="7"/>
      <c r="AJK31" s="7"/>
      <c r="AJL31" s="7"/>
      <c r="AJM31" s="7"/>
      <c r="AJN31" s="7"/>
      <c r="AJO31" s="7"/>
      <c r="AJP31" s="7"/>
      <c r="AJQ31" s="7"/>
      <c r="AJR31" s="7"/>
      <c r="AJS31" s="7"/>
      <c r="AJT31" s="7"/>
      <c r="AJU31" s="7"/>
      <c r="AJV31" s="7"/>
      <c r="AJW31" s="7"/>
      <c r="AJX31" s="7"/>
      <c r="AJY31" s="7"/>
      <c r="AJZ31" s="7"/>
      <c r="AKA31" s="7"/>
      <c r="AKB31" s="7"/>
      <c r="AKC31" s="7"/>
      <c r="AKD31" s="7"/>
      <c r="AKE31" s="7"/>
      <c r="AKF31" s="7"/>
      <c r="AKG31" s="7"/>
      <c r="AKH31" s="7"/>
      <c r="AKI31" s="7"/>
      <c r="AKJ31" s="7"/>
      <c r="AKK31" s="7"/>
      <c r="AKL31" s="7"/>
      <c r="AKM31" s="7"/>
      <c r="AKN31" s="7"/>
      <c r="AKO31" s="7"/>
      <c r="AKP31" s="7"/>
      <c r="AKQ31" s="7"/>
      <c r="AKR31" s="7"/>
      <c r="AKS31" s="7"/>
      <c r="AKT31" s="7"/>
      <c r="AKU31" s="7"/>
      <c r="AKV31" s="7"/>
      <c r="AKW31" s="7"/>
      <c r="AKX31" s="7"/>
      <c r="AKY31" s="7"/>
      <c r="AKZ31" s="7"/>
      <c r="ALA31" s="7"/>
      <c r="ALB31" s="7"/>
      <c r="ALC31" s="7"/>
      <c r="ALD31" s="7"/>
      <c r="ALE31" s="7"/>
      <c r="ALF31" s="7"/>
      <c r="ALG31" s="7"/>
      <c r="ALH31" s="7"/>
      <c r="ALI31" s="7"/>
      <c r="ALJ31" s="7"/>
      <c r="ALK31" s="7"/>
      <c r="ALL31" s="7"/>
      <c r="ALM31" s="7"/>
      <c r="ALN31" s="7"/>
      <c r="ALO31" s="7"/>
      <c r="ALP31" s="7"/>
      <c r="ALQ31" s="7"/>
      <c r="ALR31" s="7"/>
      <c r="ALS31" s="7"/>
      <c r="ALT31" s="7"/>
      <c r="ALU31" s="7"/>
      <c r="ALV31" s="7"/>
      <c r="ALW31" s="7"/>
      <c r="ALX31" s="7"/>
      <c r="ALY31" s="7"/>
      <c r="ALZ31" s="7"/>
      <c r="AMA31" s="7"/>
      <c r="AMB31" s="7"/>
      <c r="AMC31" s="7"/>
      <c r="AMD31" s="7"/>
      <c r="AME31" s="7"/>
      <c r="AMF31" s="7"/>
      <c r="AMG31" s="7"/>
      <c r="AMH31" s="7"/>
      <c r="AMI31" s="7"/>
      <c r="AMJ31" s="7"/>
      <c r="AMK31" s="7"/>
    </row>
    <row r="32" spans="1:1025">
      <c r="B32" s="109" t="s">
        <v>142</v>
      </c>
      <c r="C32" s="110"/>
      <c r="D32" s="110"/>
      <c r="E32" s="110"/>
      <c r="F32" s="110"/>
      <c r="G32" s="110"/>
      <c r="H32" s="110"/>
      <c r="I32" s="110"/>
      <c r="J32" s="111"/>
    </row>
    <row r="33" spans="1:1025" s="4" customFormat="1" ht="31.95" customHeight="1">
      <c r="A33" s="7"/>
      <c r="B33" s="118" t="str">
        <f>IF(D6="","",D6)</f>
        <v>SIGRH - Sistema Integrado de Gestão de Recursos Humanos</v>
      </c>
      <c r="C33" s="119"/>
      <c r="D33" s="119"/>
      <c r="E33" s="119"/>
      <c r="F33" s="119"/>
      <c r="G33" s="119"/>
      <c r="H33" s="119"/>
      <c r="I33" s="119"/>
      <c r="J33" s="120"/>
      <c r="K33" s="18"/>
      <c r="L33" s="7"/>
      <c r="M33" s="7"/>
      <c r="N33" s="7"/>
      <c r="O33" s="7"/>
      <c r="P33" s="7"/>
      <c r="Q33" s="7"/>
      <c r="R33" s="7"/>
      <c r="S33" s="7"/>
      <c r="T33" s="7"/>
      <c r="U33" s="7"/>
      <c r="V33" s="7"/>
      <c r="W33" s="7"/>
      <c r="X33" s="7"/>
      <c r="Y33" s="7"/>
      <c r="Z33" s="7"/>
      <c r="AA33" s="7"/>
      <c r="AB33" s="7"/>
      <c r="AC33" s="7"/>
      <c r="AD33" s="7"/>
      <c r="AE33" s="7"/>
      <c r="AF33" s="7"/>
      <c r="AG33" s="7"/>
      <c r="AH33" s="7"/>
      <c r="AI33" s="7"/>
      <c r="AJ33" s="7"/>
      <c r="AK33" s="7"/>
      <c r="AL33" s="7"/>
      <c r="AM33" s="7"/>
      <c r="AN33" s="7"/>
      <c r="AO33" s="7"/>
      <c r="AP33" s="7"/>
      <c r="AQ33" s="7"/>
      <c r="AR33" s="7"/>
      <c r="AS33" s="7"/>
      <c r="AT33" s="7"/>
      <c r="AU33" s="7"/>
      <c r="AV33" s="7"/>
      <c r="AW33" s="7"/>
      <c r="AX33" s="7"/>
      <c r="AY33" s="7"/>
      <c r="AZ33" s="7"/>
      <c r="BA33" s="7"/>
      <c r="BB33" s="7"/>
      <c r="BC33" s="7"/>
      <c r="BD33" s="7"/>
      <c r="BE33" s="7"/>
      <c r="BF33" s="7"/>
      <c r="BG33" s="7"/>
      <c r="BH33" s="7"/>
      <c r="BI33" s="7"/>
      <c r="BJ33" s="7"/>
      <c r="BK33" s="7"/>
      <c r="BL33" s="7"/>
      <c r="BM33" s="7"/>
      <c r="BN33" s="7"/>
      <c r="BO33" s="7"/>
      <c r="BP33" s="7"/>
      <c r="BQ33" s="7"/>
      <c r="BR33" s="7"/>
      <c r="BS33" s="7"/>
      <c r="BT33" s="7"/>
      <c r="BU33" s="7"/>
      <c r="BV33" s="7"/>
      <c r="BW33" s="7"/>
      <c r="BX33" s="7"/>
      <c r="BY33" s="7"/>
      <c r="BZ33" s="7"/>
      <c r="CA33" s="7"/>
      <c r="CB33" s="7"/>
      <c r="CC33" s="7"/>
      <c r="CD33" s="7"/>
      <c r="CE33" s="7"/>
      <c r="CF33" s="7"/>
      <c r="CG33" s="7"/>
      <c r="CH33" s="7"/>
      <c r="CI33" s="7"/>
      <c r="CJ33" s="7"/>
      <c r="CK33" s="7"/>
      <c r="CL33" s="7"/>
      <c r="CM33" s="7"/>
      <c r="CN33" s="7"/>
      <c r="CO33" s="7"/>
      <c r="CP33" s="7"/>
      <c r="CQ33" s="7"/>
      <c r="CR33" s="7"/>
      <c r="CS33" s="7"/>
      <c r="CT33" s="7"/>
      <c r="CU33" s="7"/>
      <c r="CV33" s="7"/>
      <c r="CW33" s="7"/>
      <c r="CX33" s="7"/>
      <c r="CY33" s="7"/>
      <c r="CZ33" s="7"/>
      <c r="DA33" s="7"/>
      <c r="DB33" s="7"/>
      <c r="DC33" s="7"/>
      <c r="DD33" s="7"/>
      <c r="DE33" s="7"/>
      <c r="DF33" s="7"/>
      <c r="DG33" s="7"/>
      <c r="DH33" s="7"/>
      <c r="DI33" s="7"/>
      <c r="DJ33" s="7"/>
      <c r="DK33" s="7"/>
      <c r="DL33" s="7"/>
      <c r="DM33" s="7"/>
      <c r="DN33" s="7"/>
      <c r="DO33" s="7"/>
      <c r="DP33" s="7"/>
      <c r="DQ33" s="7"/>
      <c r="DR33" s="7"/>
      <c r="DS33" s="7"/>
      <c r="DT33" s="7"/>
      <c r="DU33" s="7"/>
      <c r="DV33" s="7"/>
      <c r="DW33" s="7"/>
      <c r="DX33" s="7"/>
      <c r="DY33" s="7"/>
      <c r="DZ33" s="7"/>
      <c r="EA33" s="7"/>
      <c r="EB33" s="7"/>
      <c r="EC33" s="7"/>
      <c r="ED33" s="7"/>
      <c r="EE33" s="7"/>
      <c r="EF33" s="7"/>
      <c r="EG33" s="7"/>
      <c r="EH33" s="7"/>
      <c r="EI33" s="7"/>
      <c r="EJ33" s="7"/>
      <c r="EK33" s="7"/>
      <c r="EL33" s="7"/>
      <c r="EM33" s="7"/>
      <c r="EN33" s="7"/>
      <c r="EO33" s="7"/>
      <c r="EP33" s="7"/>
      <c r="EQ33" s="7"/>
      <c r="ER33" s="7"/>
      <c r="ES33" s="7"/>
      <c r="ET33" s="7"/>
      <c r="EU33" s="7"/>
      <c r="EV33" s="7"/>
      <c r="EW33" s="7"/>
      <c r="EX33" s="7"/>
      <c r="EY33" s="7"/>
      <c r="EZ33" s="7"/>
      <c r="FA33" s="7"/>
      <c r="FB33" s="7"/>
      <c r="FC33" s="7"/>
      <c r="FD33" s="7"/>
      <c r="FE33" s="7"/>
      <c r="FF33" s="7"/>
      <c r="FG33" s="7"/>
      <c r="FH33" s="7"/>
      <c r="FI33" s="7"/>
      <c r="FJ33" s="7"/>
      <c r="FK33" s="7"/>
      <c r="FL33" s="7"/>
      <c r="FM33" s="7"/>
      <c r="FN33" s="7"/>
      <c r="FO33" s="7"/>
      <c r="FP33" s="7"/>
      <c r="FQ33" s="7"/>
      <c r="FR33" s="7"/>
      <c r="FS33" s="7"/>
      <c r="FT33" s="7"/>
      <c r="FU33" s="7"/>
      <c r="FV33" s="7"/>
      <c r="FW33" s="7"/>
      <c r="FX33" s="7"/>
      <c r="FY33" s="7"/>
      <c r="FZ33" s="7"/>
      <c r="GA33" s="7"/>
      <c r="GB33" s="7"/>
      <c r="GC33" s="7"/>
      <c r="GD33" s="7"/>
      <c r="GE33" s="7"/>
      <c r="GF33" s="7"/>
      <c r="GG33" s="7"/>
      <c r="GH33" s="7"/>
      <c r="GI33" s="7"/>
      <c r="GJ33" s="7"/>
      <c r="GK33" s="7"/>
      <c r="GL33" s="7"/>
      <c r="GM33" s="7"/>
      <c r="GN33" s="7"/>
      <c r="GO33" s="7"/>
      <c r="GP33" s="7"/>
      <c r="GQ33" s="7"/>
      <c r="GR33" s="7"/>
      <c r="GS33" s="7"/>
      <c r="GT33" s="7"/>
      <c r="GU33" s="7"/>
      <c r="GV33" s="7"/>
      <c r="GW33" s="7"/>
      <c r="GX33" s="7"/>
      <c r="GY33" s="7"/>
      <c r="GZ33" s="7"/>
      <c r="HA33" s="7"/>
      <c r="HB33" s="7"/>
      <c r="HC33" s="7"/>
      <c r="HD33" s="7"/>
      <c r="HE33" s="7"/>
      <c r="HF33" s="7"/>
      <c r="HG33" s="7"/>
      <c r="HH33" s="7"/>
      <c r="HI33" s="7"/>
      <c r="HJ33" s="7"/>
      <c r="HK33" s="7"/>
      <c r="HL33" s="7"/>
      <c r="HM33" s="7"/>
      <c r="HN33" s="7"/>
      <c r="HO33" s="7"/>
      <c r="HP33" s="7"/>
      <c r="HQ33" s="7"/>
      <c r="HR33" s="7"/>
      <c r="HS33" s="7"/>
      <c r="HT33" s="7"/>
      <c r="HU33" s="7"/>
      <c r="HV33" s="7"/>
      <c r="HW33" s="7"/>
      <c r="HX33" s="7"/>
      <c r="HY33" s="7"/>
      <c r="HZ33" s="7"/>
      <c r="IA33" s="7"/>
      <c r="IB33" s="7"/>
      <c r="IC33" s="7"/>
      <c r="ID33" s="7"/>
      <c r="IE33" s="7"/>
      <c r="IF33" s="7"/>
      <c r="IG33" s="7"/>
      <c r="IH33" s="7"/>
      <c r="II33" s="7"/>
      <c r="IJ33" s="7"/>
      <c r="IK33" s="7"/>
      <c r="IL33" s="7"/>
      <c r="IM33" s="7"/>
      <c r="IN33" s="7"/>
      <c r="IO33" s="7"/>
      <c r="IP33" s="7"/>
      <c r="IQ33" s="7"/>
      <c r="IR33" s="7"/>
      <c r="IS33" s="7"/>
      <c r="IT33" s="7"/>
      <c r="IU33" s="7"/>
      <c r="IV33" s="7"/>
      <c r="IW33" s="7"/>
      <c r="IX33" s="7"/>
      <c r="IY33" s="7"/>
      <c r="IZ33" s="7"/>
      <c r="JA33" s="7"/>
      <c r="JB33" s="7"/>
      <c r="JC33" s="7"/>
      <c r="JD33" s="7"/>
      <c r="JE33" s="7"/>
      <c r="JF33" s="7"/>
      <c r="JG33" s="7"/>
      <c r="JH33" s="7"/>
      <c r="JI33" s="7"/>
      <c r="JJ33" s="7"/>
      <c r="JK33" s="7"/>
      <c r="JL33" s="7"/>
      <c r="JM33" s="7"/>
      <c r="JN33" s="7"/>
      <c r="JO33" s="7"/>
      <c r="JP33" s="7"/>
      <c r="JQ33" s="7"/>
      <c r="JR33" s="7"/>
      <c r="JS33" s="7"/>
      <c r="JT33" s="7"/>
      <c r="JU33" s="7"/>
      <c r="JV33" s="7"/>
      <c r="JW33" s="7"/>
      <c r="JX33" s="7"/>
      <c r="JY33" s="7"/>
      <c r="JZ33" s="7"/>
      <c r="KA33" s="7"/>
      <c r="KB33" s="7"/>
      <c r="KC33" s="7"/>
      <c r="KD33" s="7"/>
      <c r="KE33" s="7"/>
      <c r="KF33" s="7"/>
      <c r="KG33" s="7"/>
      <c r="KH33" s="7"/>
      <c r="KI33" s="7"/>
      <c r="KJ33" s="7"/>
      <c r="KK33" s="7"/>
      <c r="KL33" s="7"/>
      <c r="KM33" s="7"/>
      <c r="KN33" s="7"/>
      <c r="KO33" s="7"/>
      <c r="KP33" s="7"/>
      <c r="KQ33" s="7"/>
      <c r="KR33" s="7"/>
      <c r="KS33" s="7"/>
      <c r="KT33" s="7"/>
      <c r="KU33" s="7"/>
      <c r="KV33" s="7"/>
      <c r="KW33" s="7"/>
      <c r="KX33" s="7"/>
      <c r="KY33" s="7"/>
      <c r="KZ33" s="7"/>
      <c r="LA33" s="7"/>
      <c r="LB33" s="7"/>
      <c r="LC33" s="7"/>
      <c r="LD33" s="7"/>
      <c r="LE33" s="7"/>
      <c r="LF33" s="7"/>
      <c r="LG33" s="7"/>
      <c r="LH33" s="7"/>
      <c r="LI33" s="7"/>
      <c r="LJ33" s="7"/>
      <c r="LK33" s="7"/>
      <c r="LL33" s="7"/>
      <c r="LM33" s="7"/>
      <c r="LN33" s="7"/>
      <c r="LO33" s="7"/>
      <c r="LP33" s="7"/>
      <c r="LQ33" s="7"/>
      <c r="LR33" s="7"/>
      <c r="LS33" s="7"/>
      <c r="LT33" s="7"/>
      <c r="LU33" s="7"/>
      <c r="LV33" s="7"/>
      <c r="LW33" s="7"/>
      <c r="LX33" s="7"/>
      <c r="LY33" s="7"/>
      <c r="LZ33" s="7"/>
      <c r="MA33" s="7"/>
      <c r="MB33" s="7"/>
      <c r="MC33" s="7"/>
      <c r="MD33" s="7"/>
      <c r="ME33" s="7"/>
      <c r="MF33" s="7"/>
      <c r="MG33" s="7"/>
      <c r="MH33" s="7"/>
      <c r="MI33" s="7"/>
      <c r="MJ33" s="7"/>
      <c r="MK33" s="7"/>
      <c r="ML33" s="7"/>
      <c r="MM33" s="7"/>
      <c r="MN33" s="7"/>
      <c r="MO33" s="7"/>
      <c r="MP33" s="7"/>
      <c r="MQ33" s="7"/>
      <c r="MR33" s="7"/>
      <c r="MS33" s="7"/>
      <c r="MT33" s="7"/>
      <c r="MU33" s="7"/>
      <c r="MV33" s="7"/>
      <c r="MW33" s="7"/>
      <c r="MX33" s="7"/>
      <c r="MY33" s="7"/>
      <c r="MZ33" s="7"/>
      <c r="NA33" s="7"/>
      <c r="NB33" s="7"/>
      <c r="NC33" s="7"/>
      <c r="ND33" s="7"/>
      <c r="NE33" s="7"/>
      <c r="NF33" s="7"/>
      <c r="NG33" s="7"/>
      <c r="NH33" s="7"/>
      <c r="NI33" s="7"/>
      <c r="NJ33" s="7"/>
      <c r="NK33" s="7"/>
      <c r="NL33" s="7"/>
      <c r="NM33" s="7"/>
      <c r="NN33" s="7"/>
      <c r="NO33" s="7"/>
      <c r="NP33" s="7"/>
      <c r="NQ33" s="7"/>
      <c r="NR33" s="7"/>
      <c r="NS33" s="7"/>
      <c r="NT33" s="7"/>
      <c r="NU33" s="7"/>
      <c r="NV33" s="7"/>
      <c r="NW33" s="7"/>
      <c r="NX33" s="7"/>
      <c r="NY33" s="7"/>
      <c r="NZ33" s="7"/>
      <c r="OA33" s="7"/>
      <c r="OB33" s="7"/>
      <c r="OC33" s="7"/>
      <c r="OD33" s="7"/>
      <c r="OE33" s="7"/>
      <c r="OF33" s="7"/>
      <c r="OG33" s="7"/>
      <c r="OH33" s="7"/>
      <c r="OI33" s="7"/>
      <c r="OJ33" s="7"/>
      <c r="OK33" s="7"/>
      <c r="OL33" s="7"/>
      <c r="OM33" s="7"/>
      <c r="ON33" s="7"/>
      <c r="OO33" s="7"/>
      <c r="OP33" s="7"/>
      <c r="OQ33" s="7"/>
      <c r="OR33" s="7"/>
      <c r="OS33" s="7"/>
      <c r="OT33" s="7"/>
      <c r="OU33" s="7"/>
      <c r="OV33" s="7"/>
      <c r="OW33" s="7"/>
      <c r="OX33" s="7"/>
      <c r="OY33" s="7"/>
      <c r="OZ33" s="7"/>
      <c r="PA33" s="7"/>
      <c r="PB33" s="7"/>
      <c r="PC33" s="7"/>
      <c r="PD33" s="7"/>
      <c r="PE33" s="7"/>
      <c r="PF33" s="7"/>
      <c r="PG33" s="7"/>
      <c r="PH33" s="7"/>
      <c r="PI33" s="7"/>
      <c r="PJ33" s="7"/>
      <c r="PK33" s="7"/>
      <c r="PL33" s="7"/>
      <c r="PM33" s="7"/>
      <c r="PN33" s="7"/>
      <c r="PO33" s="7"/>
      <c r="PP33" s="7"/>
      <c r="PQ33" s="7"/>
      <c r="PR33" s="7"/>
      <c r="PS33" s="7"/>
      <c r="PT33" s="7"/>
      <c r="PU33" s="7"/>
      <c r="PV33" s="7"/>
      <c r="PW33" s="7"/>
      <c r="PX33" s="7"/>
      <c r="PY33" s="7"/>
      <c r="PZ33" s="7"/>
      <c r="QA33" s="7"/>
      <c r="QB33" s="7"/>
      <c r="QC33" s="7"/>
      <c r="QD33" s="7"/>
      <c r="QE33" s="7"/>
      <c r="QF33" s="7"/>
      <c r="QG33" s="7"/>
      <c r="QH33" s="7"/>
      <c r="QI33" s="7"/>
      <c r="QJ33" s="7"/>
      <c r="QK33" s="7"/>
      <c r="QL33" s="7"/>
      <c r="QM33" s="7"/>
      <c r="QN33" s="7"/>
      <c r="QO33" s="7"/>
      <c r="QP33" s="7"/>
      <c r="QQ33" s="7"/>
      <c r="QR33" s="7"/>
      <c r="QS33" s="7"/>
      <c r="QT33" s="7"/>
      <c r="QU33" s="7"/>
      <c r="QV33" s="7"/>
      <c r="QW33" s="7"/>
      <c r="QX33" s="7"/>
      <c r="QY33" s="7"/>
      <c r="QZ33" s="7"/>
      <c r="RA33" s="7"/>
      <c r="RB33" s="7"/>
      <c r="RC33" s="7"/>
      <c r="RD33" s="7"/>
      <c r="RE33" s="7"/>
      <c r="RF33" s="7"/>
      <c r="RG33" s="7"/>
      <c r="RH33" s="7"/>
      <c r="RI33" s="7"/>
      <c r="RJ33" s="7"/>
      <c r="RK33" s="7"/>
      <c r="RL33" s="7"/>
      <c r="RM33" s="7"/>
      <c r="RN33" s="7"/>
      <c r="RO33" s="7"/>
      <c r="RP33" s="7"/>
      <c r="RQ33" s="7"/>
      <c r="RR33" s="7"/>
      <c r="RS33" s="7"/>
      <c r="RT33" s="7"/>
      <c r="RU33" s="7"/>
      <c r="RV33" s="7"/>
      <c r="RW33" s="7"/>
      <c r="RX33" s="7"/>
      <c r="RY33" s="7"/>
      <c r="RZ33" s="7"/>
      <c r="SA33" s="7"/>
      <c r="SB33" s="7"/>
      <c r="SC33" s="7"/>
      <c r="SD33" s="7"/>
      <c r="SE33" s="7"/>
      <c r="SF33" s="7"/>
      <c r="SG33" s="7"/>
      <c r="SH33" s="7"/>
      <c r="SI33" s="7"/>
      <c r="SJ33" s="7"/>
      <c r="SK33" s="7"/>
      <c r="SL33" s="7"/>
      <c r="SM33" s="7"/>
      <c r="SN33" s="7"/>
      <c r="SO33" s="7"/>
      <c r="SP33" s="7"/>
      <c r="SQ33" s="7"/>
      <c r="SR33" s="7"/>
      <c r="SS33" s="7"/>
      <c r="ST33" s="7"/>
      <c r="SU33" s="7"/>
      <c r="SV33" s="7"/>
      <c r="SW33" s="7"/>
      <c r="SX33" s="7"/>
      <c r="SY33" s="7"/>
      <c r="SZ33" s="7"/>
      <c r="TA33" s="7"/>
      <c r="TB33" s="7"/>
      <c r="TC33" s="7"/>
      <c r="TD33" s="7"/>
      <c r="TE33" s="7"/>
      <c r="TF33" s="7"/>
      <c r="TG33" s="7"/>
      <c r="TH33" s="7"/>
      <c r="TI33" s="7"/>
      <c r="TJ33" s="7"/>
      <c r="TK33" s="7"/>
      <c r="TL33" s="7"/>
      <c r="TM33" s="7"/>
      <c r="TN33" s="7"/>
      <c r="TO33" s="7"/>
      <c r="TP33" s="7"/>
      <c r="TQ33" s="7"/>
      <c r="TR33" s="7"/>
      <c r="TS33" s="7"/>
      <c r="TT33" s="7"/>
      <c r="TU33" s="7"/>
      <c r="TV33" s="7"/>
      <c r="TW33" s="7"/>
      <c r="TX33" s="7"/>
      <c r="TY33" s="7"/>
      <c r="TZ33" s="7"/>
      <c r="UA33" s="7"/>
      <c r="UB33" s="7"/>
      <c r="UC33" s="7"/>
      <c r="UD33" s="7"/>
      <c r="UE33" s="7"/>
      <c r="UF33" s="7"/>
      <c r="UG33" s="7"/>
      <c r="UH33" s="7"/>
      <c r="UI33" s="7"/>
      <c r="UJ33" s="7"/>
      <c r="UK33" s="7"/>
      <c r="UL33" s="7"/>
      <c r="UM33" s="7"/>
      <c r="UN33" s="7"/>
      <c r="UO33" s="7"/>
      <c r="UP33" s="7"/>
      <c r="UQ33" s="7"/>
      <c r="UR33" s="7"/>
      <c r="US33" s="7"/>
      <c r="UT33" s="7"/>
      <c r="UU33" s="7"/>
      <c r="UV33" s="7"/>
      <c r="UW33" s="7"/>
      <c r="UX33" s="7"/>
      <c r="UY33" s="7"/>
      <c r="UZ33" s="7"/>
      <c r="VA33" s="7"/>
      <c r="VB33" s="7"/>
      <c r="VC33" s="7"/>
      <c r="VD33" s="7"/>
      <c r="VE33" s="7"/>
      <c r="VF33" s="7"/>
      <c r="VG33" s="7"/>
      <c r="VH33" s="7"/>
      <c r="VI33" s="7"/>
      <c r="VJ33" s="7"/>
      <c r="VK33" s="7"/>
      <c r="VL33" s="7"/>
      <c r="VM33" s="7"/>
      <c r="VN33" s="7"/>
      <c r="VO33" s="7"/>
      <c r="VP33" s="7"/>
      <c r="VQ33" s="7"/>
      <c r="VR33" s="7"/>
      <c r="VS33" s="7"/>
      <c r="VT33" s="7"/>
      <c r="VU33" s="7"/>
      <c r="VV33" s="7"/>
      <c r="VW33" s="7"/>
      <c r="VX33" s="7"/>
      <c r="VY33" s="7"/>
      <c r="VZ33" s="7"/>
      <c r="WA33" s="7"/>
      <c r="WB33" s="7"/>
      <c r="WC33" s="7"/>
      <c r="WD33" s="7"/>
      <c r="WE33" s="7"/>
      <c r="WF33" s="7"/>
      <c r="WG33" s="7"/>
      <c r="WH33" s="7"/>
      <c r="WI33" s="7"/>
      <c r="WJ33" s="7"/>
      <c r="WK33" s="7"/>
      <c r="WL33" s="7"/>
      <c r="WM33" s="7"/>
      <c r="WN33" s="7"/>
      <c r="WO33" s="7"/>
      <c r="WP33" s="7"/>
      <c r="WQ33" s="7"/>
      <c r="WR33" s="7"/>
      <c r="WS33" s="7"/>
      <c r="WT33" s="7"/>
      <c r="WU33" s="7"/>
      <c r="WV33" s="7"/>
      <c r="WW33" s="7"/>
      <c r="WX33" s="7"/>
      <c r="WY33" s="7"/>
      <c r="WZ33" s="7"/>
      <c r="XA33" s="7"/>
      <c r="XB33" s="7"/>
      <c r="XC33" s="7"/>
      <c r="XD33" s="7"/>
      <c r="XE33" s="7"/>
      <c r="XF33" s="7"/>
      <c r="XG33" s="7"/>
      <c r="XH33" s="7"/>
      <c r="XI33" s="7"/>
      <c r="XJ33" s="7"/>
      <c r="XK33" s="7"/>
      <c r="XL33" s="7"/>
      <c r="XM33" s="7"/>
      <c r="XN33" s="7"/>
      <c r="XO33" s="7"/>
      <c r="XP33" s="7"/>
      <c r="XQ33" s="7"/>
      <c r="XR33" s="7"/>
      <c r="XS33" s="7"/>
      <c r="XT33" s="7"/>
      <c r="XU33" s="7"/>
      <c r="XV33" s="7"/>
      <c r="XW33" s="7"/>
      <c r="XX33" s="7"/>
      <c r="XY33" s="7"/>
      <c r="XZ33" s="7"/>
      <c r="YA33" s="7"/>
      <c r="YB33" s="7"/>
      <c r="YC33" s="7"/>
      <c r="YD33" s="7"/>
      <c r="YE33" s="7"/>
      <c r="YF33" s="7"/>
      <c r="YG33" s="7"/>
      <c r="YH33" s="7"/>
      <c r="YI33" s="7"/>
      <c r="YJ33" s="7"/>
      <c r="YK33" s="7"/>
      <c r="YL33" s="7"/>
      <c r="YM33" s="7"/>
      <c r="YN33" s="7"/>
      <c r="YO33" s="7"/>
      <c r="YP33" s="7"/>
      <c r="YQ33" s="7"/>
      <c r="YR33" s="7"/>
      <c r="YS33" s="7"/>
      <c r="YT33" s="7"/>
      <c r="YU33" s="7"/>
      <c r="YV33" s="7"/>
      <c r="YW33" s="7"/>
      <c r="YX33" s="7"/>
      <c r="YY33" s="7"/>
      <c r="YZ33" s="7"/>
      <c r="ZA33" s="7"/>
      <c r="ZB33" s="7"/>
      <c r="ZC33" s="7"/>
      <c r="ZD33" s="7"/>
      <c r="ZE33" s="7"/>
      <c r="ZF33" s="7"/>
      <c r="ZG33" s="7"/>
      <c r="ZH33" s="7"/>
      <c r="ZI33" s="7"/>
      <c r="ZJ33" s="7"/>
      <c r="ZK33" s="7"/>
      <c r="ZL33" s="7"/>
      <c r="ZM33" s="7"/>
      <c r="ZN33" s="7"/>
      <c r="ZO33" s="7"/>
      <c r="ZP33" s="7"/>
      <c r="ZQ33" s="7"/>
      <c r="ZR33" s="7"/>
      <c r="ZS33" s="7"/>
      <c r="ZT33" s="7"/>
      <c r="ZU33" s="7"/>
      <c r="ZV33" s="7"/>
      <c r="ZW33" s="7"/>
      <c r="ZX33" s="7"/>
      <c r="ZY33" s="7"/>
      <c r="ZZ33" s="7"/>
      <c r="AAA33" s="7"/>
      <c r="AAB33" s="7"/>
      <c r="AAC33" s="7"/>
      <c r="AAD33" s="7"/>
      <c r="AAE33" s="7"/>
      <c r="AAF33" s="7"/>
      <c r="AAG33" s="7"/>
      <c r="AAH33" s="7"/>
      <c r="AAI33" s="7"/>
      <c r="AAJ33" s="7"/>
      <c r="AAK33" s="7"/>
      <c r="AAL33" s="7"/>
      <c r="AAM33" s="7"/>
      <c r="AAN33" s="7"/>
      <c r="AAO33" s="7"/>
      <c r="AAP33" s="7"/>
      <c r="AAQ33" s="7"/>
      <c r="AAR33" s="7"/>
      <c r="AAS33" s="7"/>
      <c r="AAT33" s="7"/>
      <c r="AAU33" s="7"/>
      <c r="AAV33" s="7"/>
      <c r="AAW33" s="7"/>
      <c r="AAX33" s="7"/>
      <c r="AAY33" s="7"/>
      <c r="AAZ33" s="7"/>
      <c r="ABA33" s="7"/>
      <c r="ABB33" s="7"/>
      <c r="ABC33" s="7"/>
      <c r="ABD33" s="7"/>
      <c r="ABE33" s="7"/>
      <c r="ABF33" s="7"/>
      <c r="ABG33" s="7"/>
      <c r="ABH33" s="7"/>
      <c r="ABI33" s="7"/>
      <c r="ABJ33" s="7"/>
      <c r="ABK33" s="7"/>
      <c r="ABL33" s="7"/>
      <c r="ABM33" s="7"/>
      <c r="ABN33" s="7"/>
      <c r="ABO33" s="7"/>
      <c r="ABP33" s="7"/>
      <c r="ABQ33" s="7"/>
      <c r="ABR33" s="7"/>
      <c r="ABS33" s="7"/>
      <c r="ABT33" s="7"/>
      <c r="ABU33" s="7"/>
      <c r="ABV33" s="7"/>
      <c r="ABW33" s="7"/>
      <c r="ABX33" s="7"/>
      <c r="ABY33" s="7"/>
      <c r="ABZ33" s="7"/>
      <c r="ACA33" s="7"/>
      <c r="ACB33" s="7"/>
      <c r="ACC33" s="7"/>
      <c r="ACD33" s="7"/>
      <c r="ACE33" s="7"/>
      <c r="ACF33" s="7"/>
      <c r="ACG33" s="7"/>
      <c r="ACH33" s="7"/>
      <c r="ACI33" s="7"/>
      <c r="ACJ33" s="7"/>
      <c r="ACK33" s="7"/>
      <c r="ACL33" s="7"/>
      <c r="ACM33" s="7"/>
      <c r="ACN33" s="7"/>
      <c r="ACO33" s="7"/>
      <c r="ACP33" s="7"/>
      <c r="ACQ33" s="7"/>
      <c r="ACR33" s="7"/>
      <c r="ACS33" s="7"/>
      <c r="ACT33" s="7"/>
      <c r="ACU33" s="7"/>
      <c r="ACV33" s="7"/>
      <c r="ACW33" s="7"/>
      <c r="ACX33" s="7"/>
      <c r="ACY33" s="7"/>
      <c r="ACZ33" s="7"/>
      <c r="ADA33" s="7"/>
      <c r="ADB33" s="7"/>
      <c r="ADC33" s="7"/>
      <c r="ADD33" s="7"/>
      <c r="ADE33" s="7"/>
      <c r="ADF33" s="7"/>
      <c r="ADG33" s="7"/>
      <c r="ADH33" s="7"/>
      <c r="ADI33" s="7"/>
      <c r="ADJ33" s="7"/>
      <c r="ADK33" s="7"/>
      <c r="ADL33" s="7"/>
      <c r="ADM33" s="7"/>
      <c r="ADN33" s="7"/>
      <c r="ADO33" s="7"/>
      <c r="ADP33" s="7"/>
      <c r="ADQ33" s="7"/>
      <c r="ADR33" s="7"/>
      <c r="ADS33" s="7"/>
      <c r="ADT33" s="7"/>
      <c r="ADU33" s="7"/>
      <c r="ADV33" s="7"/>
      <c r="ADW33" s="7"/>
      <c r="ADX33" s="7"/>
      <c r="ADY33" s="7"/>
      <c r="ADZ33" s="7"/>
      <c r="AEA33" s="7"/>
      <c r="AEB33" s="7"/>
      <c r="AEC33" s="7"/>
      <c r="AED33" s="7"/>
      <c r="AEE33" s="7"/>
      <c r="AEF33" s="7"/>
      <c r="AEG33" s="7"/>
      <c r="AEH33" s="7"/>
      <c r="AEI33" s="7"/>
      <c r="AEJ33" s="7"/>
      <c r="AEK33" s="7"/>
      <c r="AEL33" s="7"/>
      <c r="AEM33" s="7"/>
      <c r="AEN33" s="7"/>
      <c r="AEO33" s="7"/>
      <c r="AEP33" s="7"/>
      <c r="AEQ33" s="7"/>
      <c r="AER33" s="7"/>
      <c r="AES33" s="7"/>
      <c r="AET33" s="7"/>
      <c r="AEU33" s="7"/>
      <c r="AEV33" s="7"/>
      <c r="AEW33" s="7"/>
      <c r="AEX33" s="7"/>
      <c r="AEY33" s="7"/>
      <c r="AEZ33" s="7"/>
      <c r="AFA33" s="7"/>
      <c r="AFB33" s="7"/>
      <c r="AFC33" s="7"/>
      <c r="AFD33" s="7"/>
      <c r="AFE33" s="7"/>
      <c r="AFF33" s="7"/>
      <c r="AFG33" s="7"/>
      <c r="AFH33" s="7"/>
      <c r="AFI33" s="7"/>
      <c r="AFJ33" s="7"/>
      <c r="AFK33" s="7"/>
      <c r="AFL33" s="7"/>
      <c r="AFM33" s="7"/>
      <c r="AFN33" s="7"/>
      <c r="AFO33" s="7"/>
      <c r="AFP33" s="7"/>
      <c r="AFQ33" s="7"/>
      <c r="AFR33" s="7"/>
      <c r="AFS33" s="7"/>
      <c r="AFT33" s="7"/>
      <c r="AFU33" s="7"/>
      <c r="AFV33" s="7"/>
      <c r="AFW33" s="7"/>
      <c r="AFX33" s="7"/>
      <c r="AFY33" s="7"/>
      <c r="AFZ33" s="7"/>
      <c r="AGA33" s="7"/>
      <c r="AGB33" s="7"/>
      <c r="AGC33" s="7"/>
      <c r="AGD33" s="7"/>
      <c r="AGE33" s="7"/>
      <c r="AGF33" s="7"/>
      <c r="AGG33" s="7"/>
      <c r="AGH33" s="7"/>
      <c r="AGI33" s="7"/>
      <c r="AGJ33" s="7"/>
      <c r="AGK33" s="7"/>
      <c r="AGL33" s="7"/>
      <c r="AGM33" s="7"/>
      <c r="AGN33" s="7"/>
      <c r="AGO33" s="7"/>
      <c r="AGP33" s="7"/>
      <c r="AGQ33" s="7"/>
      <c r="AGR33" s="7"/>
      <c r="AGS33" s="7"/>
      <c r="AGT33" s="7"/>
      <c r="AGU33" s="7"/>
      <c r="AGV33" s="7"/>
      <c r="AGW33" s="7"/>
      <c r="AGX33" s="7"/>
      <c r="AGY33" s="7"/>
      <c r="AGZ33" s="7"/>
      <c r="AHA33" s="7"/>
      <c r="AHB33" s="7"/>
      <c r="AHC33" s="7"/>
      <c r="AHD33" s="7"/>
      <c r="AHE33" s="7"/>
      <c r="AHF33" s="7"/>
      <c r="AHG33" s="7"/>
      <c r="AHH33" s="7"/>
      <c r="AHI33" s="7"/>
      <c r="AHJ33" s="7"/>
      <c r="AHK33" s="7"/>
      <c r="AHL33" s="7"/>
      <c r="AHM33" s="7"/>
      <c r="AHN33" s="7"/>
      <c r="AHO33" s="7"/>
      <c r="AHP33" s="7"/>
      <c r="AHQ33" s="7"/>
      <c r="AHR33" s="7"/>
      <c r="AHS33" s="7"/>
      <c r="AHT33" s="7"/>
      <c r="AHU33" s="7"/>
      <c r="AHV33" s="7"/>
      <c r="AHW33" s="7"/>
      <c r="AHX33" s="7"/>
      <c r="AHY33" s="7"/>
      <c r="AHZ33" s="7"/>
      <c r="AIA33" s="7"/>
      <c r="AIB33" s="7"/>
      <c r="AIC33" s="7"/>
      <c r="AID33" s="7"/>
      <c r="AIE33" s="7"/>
      <c r="AIF33" s="7"/>
      <c r="AIG33" s="7"/>
      <c r="AIH33" s="7"/>
      <c r="AII33" s="7"/>
      <c r="AIJ33" s="7"/>
      <c r="AIK33" s="7"/>
      <c r="AIL33" s="7"/>
      <c r="AIM33" s="7"/>
      <c r="AIN33" s="7"/>
      <c r="AIO33" s="7"/>
      <c r="AIP33" s="7"/>
      <c r="AIQ33" s="7"/>
      <c r="AIR33" s="7"/>
      <c r="AIS33" s="7"/>
      <c r="AIT33" s="7"/>
      <c r="AIU33" s="7"/>
      <c r="AIV33" s="7"/>
      <c r="AIW33" s="7"/>
      <c r="AIX33" s="7"/>
      <c r="AIY33" s="7"/>
      <c r="AIZ33" s="7"/>
      <c r="AJA33" s="7"/>
      <c r="AJB33" s="7"/>
      <c r="AJC33" s="7"/>
      <c r="AJD33" s="7"/>
      <c r="AJE33" s="7"/>
      <c r="AJF33" s="7"/>
      <c r="AJG33" s="7"/>
      <c r="AJH33" s="7"/>
      <c r="AJI33" s="7"/>
      <c r="AJJ33" s="7"/>
      <c r="AJK33" s="7"/>
      <c r="AJL33" s="7"/>
      <c r="AJM33" s="7"/>
      <c r="AJN33" s="7"/>
      <c r="AJO33" s="7"/>
      <c r="AJP33" s="7"/>
      <c r="AJQ33" s="7"/>
      <c r="AJR33" s="7"/>
      <c r="AJS33" s="7"/>
      <c r="AJT33" s="7"/>
      <c r="AJU33" s="7"/>
      <c r="AJV33" s="7"/>
      <c r="AJW33" s="7"/>
      <c r="AJX33" s="7"/>
      <c r="AJY33" s="7"/>
      <c r="AJZ33" s="7"/>
      <c r="AKA33" s="7"/>
      <c r="AKB33" s="7"/>
      <c r="AKC33" s="7"/>
      <c r="AKD33" s="7"/>
      <c r="AKE33" s="7"/>
      <c r="AKF33" s="7"/>
      <c r="AKG33" s="7"/>
      <c r="AKH33" s="7"/>
      <c r="AKI33" s="7"/>
      <c r="AKJ33" s="7"/>
      <c r="AKK33" s="7"/>
      <c r="AKL33" s="7"/>
      <c r="AKM33" s="7"/>
      <c r="AKN33" s="7"/>
      <c r="AKO33" s="7"/>
      <c r="AKP33" s="7"/>
      <c r="AKQ33" s="7"/>
      <c r="AKR33" s="7"/>
      <c r="AKS33" s="7"/>
      <c r="AKT33" s="7"/>
      <c r="AKU33" s="7"/>
      <c r="AKV33" s="7"/>
      <c r="AKW33" s="7"/>
      <c r="AKX33" s="7"/>
      <c r="AKY33" s="7"/>
      <c r="AKZ33" s="7"/>
      <c r="ALA33" s="7"/>
      <c r="ALB33" s="7"/>
      <c r="ALC33" s="7"/>
      <c r="ALD33" s="7"/>
      <c r="ALE33" s="7"/>
      <c r="ALF33" s="7"/>
      <c r="ALG33" s="7"/>
      <c r="ALH33" s="7"/>
      <c r="ALI33" s="7"/>
      <c r="ALJ33" s="7"/>
      <c r="ALK33" s="7"/>
      <c r="ALL33" s="7"/>
      <c r="ALM33" s="7"/>
      <c r="ALN33" s="7"/>
      <c r="ALO33" s="7"/>
      <c r="ALP33" s="7"/>
      <c r="ALQ33" s="7"/>
      <c r="ALR33" s="7"/>
      <c r="ALS33" s="7"/>
      <c r="ALT33" s="7"/>
      <c r="ALU33" s="7"/>
      <c r="ALV33" s="7"/>
      <c r="ALW33" s="7"/>
      <c r="ALX33" s="7"/>
      <c r="ALY33" s="7"/>
      <c r="ALZ33" s="7"/>
      <c r="AMA33" s="7"/>
      <c r="AMB33" s="7"/>
      <c r="AMC33" s="7"/>
      <c r="AMD33" s="7"/>
      <c r="AME33" s="7"/>
      <c r="AMF33" s="7"/>
      <c r="AMG33" s="7"/>
      <c r="AMH33" s="7"/>
      <c r="AMI33" s="7"/>
      <c r="AMJ33" s="7"/>
      <c r="AMK33" s="7"/>
    </row>
    <row r="34" spans="1:1025" ht="14.25" customHeight="1">
      <c r="B34" s="109" t="s">
        <v>139</v>
      </c>
      <c r="C34" s="110"/>
      <c r="D34" s="110"/>
      <c r="E34" s="110"/>
      <c r="F34" s="110"/>
      <c r="G34" s="110"/>
      <c r="H34" s="110"/>
      <c r="I34" s="110"/>
      <c r="J34" s="111"/>
    </row>
    <row r="35" spans="1:1025" s="4" customFormat="1" ht="28.95" customHeight="1">
      <c r="A35" s="7"/>
      <c r="B35" s="115"/>
      <c r="C35" s="116"/>
      <c r="D35" s="116"/>
      <c r="E35" s="116"/>
      <c r="F35" s="116"/>
      <c r="G35" s="116"/>
      <c r="H35" s="116"/>
      <c r="I35" s="116"/>
      <c r="J35" s="117"/>
      <c r="K35" s="18"/>
      <c r="L35" s="7"/>
      <c r="M35" s="7"/>
      <c r="N35" s="7"/>
      <c r="O35" s="7"/>
      <c r="P35" s="7"/>
      <c r="Q35" s="7"/>
      <c r="R35" s="7"/>
      <c r="S35" s="7"/>
      <c r="T35" s="7"/>
      <c r="U35" s="7"/>
      <c r="V35" s="7"/>
      <c r="W35" s="7"/>
      <c r="X35" s="7"/>
      <c r="Y35" s="7"/>
      <c r="Z35" s="7"/>
      <c r="AA35" s="7"/>
      <c r="AB35" s="7"/>
      <c r="AC35" s="7"/>
      <c r="AD35" s="7"/>
      <c r="AE35" s="7"/>
      <c r="AF35" s="7"/>
      <c r="AG35" s="7"/>
      <c r="AH35" s="7"/>
      <c r="AI35" s="7"/>
      <c r="AJ35" s="7"/>
      <c r="AK35" s="7"/>
      <c r="AL35" s="7"/>
      <c r="AM35" s="7"/>
      <c r="AN35" s="7"/>
      <c r="AO35" s="7"/>
      <c r="AP35" s="7"/>
      <c r="AQ35" s="7"/>
      <c r="AR35" s="7"/>
      <c r="AS35" s="7"/>
      <c r="AT35" s="7"/>
      <c r="AU35" s="7"/>
      <c r="AV35" s="7"/>
      <c r="AW35" s="7"/>
      <c r="AX35" s="7"/>
      <c r="AY35" s="7"/>
      <c r="AZ35" s="7"/>
      <c r="BA35" s="7"/>
      <c r="BB35" s="7"/>
      <c r="BC35" s="7"/>
      <c r="BD35" s="7"/>
      <c r="BE35" s="7"/>
      <c r="BF35" s="7"/>
      <c r="BG35" s="7"/>
      <c r="BH35" s="7"/>
      <c r="BI35" s="7"/>
      <c r="BJ35" s="7"/>
      <c r="BK35" s="7"/>
      <c r="BL35" s="7"/>
      <c r="BM35" s="7"/>
      <c r="BN35" s="7"/>
      <c r="BO35" s="7"/>
      <c r="BP35" s="7"/>
      <c r="BQ35" s="7"/>
      <c r="BR35" s="7"/>
      <c r="BS35" s="7"/>
      <c r="BT35" s="7"/>
      <c r="BU35" s="7"/>
      <c r="BV35" s="7"/>
      <c r="BW35" s="7"/>
      <c r="BX35" s="7"/>
      <c r="BY35" s="7"/>
      <c r="BZ35" s="7"/>
      <c r="CA35" s="7"/>
      <c r="CB35" s="7"/>
      <c r="CC35" s="7"/>
      <c r="CD35" s="7"/>
      <c r="CE35" s="7"/>
      <c r="CF35" s="7"/>
      <c r="CG35" s="7"/>
      <c r="CH35" s="7"/>
      <c r="CI35" s="7"/>
      <c r="CJ35" s="7"/>
      <c r="CK35" s="7"/>
      <c r="CL35" s="7"/>
      <c r="CM35" s="7"/>
      <c r="CN35" s="7"/>
      <c r="CO35" s="7"/>
      <c r="CP35" s="7"/>
      <c r="CQ35" s="7"/>
      <c r="CR35" s="7"/>
      <c r="CS35" s="7"/>
      <c r="CT35" s="7"/>
      <c r="CU35" s="7"/>
      <c r="CV35" s="7"/>
      <c r="CW35" s="7"/>
      <c r="CX35" s="7"/>
      <c r="CY35" s="7"/>
      <c r="CZ35" s="7"/>
      <c r="DA35" s="7"/>
      <c r="DB35" s="7"/>
      <c r="DC35" s="7"/>
      <c r="DD35" s="7"/>
      <c r="DE35" s="7"/>
      <c r="DF35" s="7"/>
      <c r="DG35" s="7"/>
      <c r="DH35" s="7"/>
      <c r="DI35" s="7"/>
      <c r="DJ35" s="7"/>
      <c r="DK35" s="7"/>
      <c r="DL35" s="7"/>
      <c r="DM35" s="7"/>
      <c r="DN35" s="7"/>
      <c r="DO35" s="7"/>
      <c r="DP35" s="7"/>
      <c r="DQ35" s="7"/>
      <c r="DR35" s="7"/>
      <c r="DS35" s="7"/>
      <c r="DT35" s="7"/>
      <c r="DU35" s="7"/>
      <c r="DV35" s="7"/>
      <c r="DW35" s="7"/>
      <c r="DX35" s="7"/>
      <c r="DY35" s="7"/>
      <c r="DZ35" s="7"/>
      <c r="EA35" s="7"/>
      <c r="EB35" s="7"/>
      <c r="EC35" s="7"/>
      <c r="ED35" s="7"/>
      <c r="EE35" s="7"/>
      <c r="EF35" s="7"/>
      <c r="EG35" s="7"/>
      <c r="EH35" s="7"/>
      <c r="EI35" s="7"/>
      <c r="EJ35" s="7"/>
      <c r="EK35" s="7"/>
      <c r="EL35" s="7"/>
      <c r="EM35" s="7"/>
      <c r="EN35" s="7"/>
      <c r="EO35" s="7"/>
      <c r="EP35" s="7"/>
      <c r="EQ35" s="7"/>
      <c r="ER35" s="7"/>
      <c r="ES35" s="7"/>
      <c r="ET35" s="7"/>
      <c r="EU35" s="7"/>
      <c r="EV35" s="7"/>
      <c r="EW35" s="7"/>
      <c r="EX35" s="7"/>
      <c r="EY35" s="7"/>
      <c r="EZ35" s="7"/>
      <c r="FA35" s="7"/>
      <c r="FB35" s="7"/>
      <c r="FC35" s="7"/>
      <c r="FD35" s="7"/>
      <c r="FE35" s="7"/>
      <c r="FF35" s="7"/>
      <c r="FG35" s="7"/>
      <c r="FH35" s="7"/>
      <c r="FI35" s="7"/>
      <c r="FJ35" s="7"/>
      <c r="FK35" s="7"/>
      <c r="FL35" s="7"/>
      <c r="FM35" s="7"/>
      <c r="FN35" s="7"/>
      <c r="FO35" s="7"/>
      <c r="FP35" s="7"/>
      <c r="FQ35" s="7"/>
      <c r="FR35" s="7"/>
      <c r="FS35" s="7"/>
      <c r="FT35" s="7"/>
      <c r="FU35" s="7"/>
      <c r="FV35" s="7"/>
      <c r="FW35" s="7"/>
      <c r="FX35" s="7"/>
      <c r="FY35" s="7"/>
      <c r="FZ35" s="7"/>
      <c r="GA35" s="7"/>
      <c r="GB35" s="7"/>
      <c r="GC35" s="7"/>
      <c r="GD35" s="7"/>
      <c r="GE35" s="7"/>
      <c r="GF35" s="7"/>
      <c r="GG35" s="7"/>
      <c r="GH35" s="7"/>
      <c r="GI35" s="7"/>
      <c r="GJ35" s="7"/>
      <c r="GK35" s="7"/>
      <c r="GL35" s="7"/>
      <c r="GM35" s="7"/>
      <c r="GN35" s="7"/>
      <c r="GO35" s="7"/>
      <c r="GP35" s="7"/>
      <c r="GQ35" s="7"/>
      <c r="GR35" s="7"/>
      <c r="GS35" s="7"/>
      <c r="GT35" s="7"/>
      <c r="GU35" s="7"/>
      <c r="GV35" s="7"/>
      <c r="GW35" s="7"/>
      <c r="GX35" s="7"/>
      <c r="GY35" s="7"/>
      <c r="GZ35" s="7"/>
      <c r="HA35" s="7"/>
      <c r="HB35" s="7"/>
      <c r="HC35" s="7"/>
      <c r="HD35" s="7"/>
      <c r="HE35" s="7"/>
      <c r="HF35" s="7"/>
      <c r="HG35" s="7"/>
      <c r="HH35" s="7"/>
      <c r="HI35" s="7"/>
      <c r="HJ35" s="7"/>
      <c r="HK35" s="7"/>
      <c r="HL35" s="7"/>
      <c r="HM35" s="7"/>
      <c r="HN35" s="7"/>
      <c r="HO35" s="7"/>
      <c r="HP35" s="7"/>
      <c r="HQ35" s="7"/>
      <c r="HR35" s="7"/>
      <c r="HS35" s="7"/>
      <c r="HT35" s="7"/>
      <c r="HU35" s="7"/>
      <c r="HV35" s="7"/>
      <c r="HW35" s="7"/>
      <c r="HX35" s="7"/>
      <c r="HY35" s="7"/>
      <c r="HZ35" s="7"/>
      <c r="IA35" s="7"/>
      <c r="IB35" s="7"/>
      <c r="IC35" s="7"/>
      <c r="ID35" s="7"/>
      <c r="IE35" s="7"/>
      <c r="IF35" s="7"/>
      <c r="IG35" s="7"/>
      <c r="IH35" s="7"/>
      <c r="II35" s="7"/>
      <c r="IJ35" s="7"/>
      <c r="IK35" s="7"/>
      <c r="IL35" s="7"/>
      <c r="IM35" s="7"/>
      <c r="IN35" s="7"/>
      <c r="IO35" s="7"/>
      <c r="IP35" s="7"/>
      <c r="IQ35" s="7"/>
      <c r="IR35" s="7"/>
      <c r="IS35" s="7"/>
      <c r="IT35" s="7"/>
      <c r="IU35" s="7"/>
      <c r="IV35" s="7"/>
      <c r="IW35" s="7"/>
      <c r="IX35" s="7"/>
      <c r="IY35" s="7"/>
      <c r="IZ35" s="7"/>
      <c r="JA35" s="7"/>
      <c r="JB35" s="7"/>
      <c r="JC35" s="7"/>
      <c r="JD35" s="7"/>
      <c r="JE35" s="7"/>
      <c r="JF35" s="7"/>
      <c r="JG35" s="7"/>
      <c r="JH35" s="7"/>
      <c r="JI35" s="7"/>
      <c r="JJ35" s="7"/>
      <c r="JK35" s="7"/>
      <c r="JL35" s="7"/>
      <c r="JM35" s="7"/>
      <c r="JN35" s="7"/>
      <c r="JO35" s="7"/>
      <c r="JP35" s="7"/>
      <c r="JQ35" s="7"/>
      <c r="JR35" s="7"/>
      <c r="JS35" s="7"/>
      <c r="JT35" s="7"/>
      <c r="JU35" s="7"/>
      <c r="JV35" s="7"/>
      <c r="JW35" s="7"/>
      <c r="JX35" s="7"/>
      <c r="JY35" s="7"/>
      <c r="JZ35" s="7"/>
      <c r="KA35" s="7"/>
      <c r="KB35" s="7"/>
      <c r="KC35" s="7"/>
      <c r="KD35" s="7"/>
      <c r="KE35" s="7"/>
      <c r="KF35" s="7"/>
      <c r="KG35" s="7"/>
      <c r="KH35" s="7"/>
      <c r="KI35" s="7"/>
      <c r="KJ35" s="7"/>
      <c r="KK35" s="7"/>
      <c r="KL35" s="7"/>
      <c r="KM35" s="7"/>
      <c r="KN35" s="7"/>
      <c r="KO35" s="7"/>
      <c r="KP35" s="7"/>
      <c r="KQ35" s="7"/>
      <c r="KR35" s="7"/>
      <c r="KS35" s="7"/>
      <c r="KT35" s="7"/>
      <c r="KU35" s="7"/>
      <c r="KV35" s="7"/>
      <c r="KW35" s="7"/>
      <c r="KX35" s="7"/>
      <c r="KY35" s="7"/>
      <c r="KZ35" s="7"/>
      <c r="LA35" s="7"/>
      <c r="LB35" s="7"/>
      <c r="LC35" s="7"/>
      <c r="LD35" s="7"/>
      <c r="LE35" s="7"/>
      <c r="LF35" s="7"/>
      <c r="LG35" s="7"/>
      <c r="LH35" s="7"/>
      <c r="LI35" s="7"/>
      <c r="LJ35" s="7"/>
      <c r="LK35" s="7"/>
      <c r="LL35" s="7"/>
      <c r="LM35" s="7"/>
      <c r="LN35" s="7"/>
      <c r="LO35" s="7"/>
      <c r="LP35" s="7"/>
      <c r="LQ35" s="7"/>
      <c r="LR35" s="7"/>
      <c r="LS35" s="7"/>
      <c r="LT35" s="7"/>
      <c r="LU35" s="7"/>
      <c r="LV35" s="7"/>
      <c r="LW35" s="7"/>
      <c r="LX35" s="7"/>
      <c r="LY35" s="7"/>
      <c r="LZ35" s="7"/>
      <c r="MA35" s="7"/>
      <c r="MB35" s="7"/>
      <c r="MC35" s="7"/>
      <c r="MD35" s="7"/>
      <c r="ME35" s="7"/>
      <c r="MF35" s="7"/>
      <c r="MG35" s="7"/>
      <c r="MH35" s="7"/>
      <c r="MI35" s="7"/>
      <c r="MJ35" s="7"/>
      <c r="MK35" s="7"/>
      <c r="ML35" s="7"/>
      <c r="MM35" s="7"/>
      <c r="MN35" s="7"/>
      <c r="MO35" s="7"/>
      <c r="MP35" s="7"/>
      <c r="MQ35" s="7"/>
      <c r="MR35" s="7"/>
      <c r="MS35" s="7"/>
      <c r="MT35" s="7"/>
      <c r="MU35" s="7"/>
      <c r="MV35" s="7"/>
      <c r="MW35" s="7"/>
      <c r="MX35" s="7"/>
      <c r="MY35" s="7"/>
      <c r="MZ35" s="7"/>
      <c r="NA35" s="7"/>
      <c r="NB35" s="7"/>
      <c r="NC35" s="7"/>
      <c r="ND35" s="7"/>
      <c r="NE35" s="7"/>
      <c r="NF35" s="7"/>
      <c r="NG35" s="7"/>
      <c r="NH35" s="7"/>
      <c r="NI35" s="7"/>
      <c r="NJ35" s="7"/>
      <c r="NK35" s="7"/>
      <c r="NL35" s="7"/>
      <c r="NM35" s="7"/>
      <c r="NN35" s="7"/>
      <c r="NO35" s="7"/>
      <c r="NP35" s="7"/>
      <c r="NQ35" s="7"/>
      <c r="NR35" s="7"/>
      <c r="NS35" s="7"/>
      <c r="NT35" s="7"/>
      <c r="NU35" s="7"/>
      <c r="NV35" s="7"/>
      <c r="NW35" s="7"/>
      <c r="NX35" s="7"/>
      <c r="NY35" s="7"/>
      <c r="NZ35" s="7"/>
      <c r="OA35" s="7"/>
      <c r="OB35" s="7"/>
      <c r="OC35" s="7"/>
      <c r="OD35" s="7"/>
      <c r="OE35" s="7"/>
      <c r="OF35" s="7"/>
      <c r="OG35" s="7"/>
      <c r="OH35" s="7"/>
      <c r="OI35" s="7"/>
      <c r="OJ35" s="7"/>
      <c r="OK35" s="7"/>
      <c r="OL35" s="7"/>
      <c r="OM35" s="7"/>
      <c r="ON35" s="7"/>
      <c r="OO35" s="7"/>
      <c r="OP35" s="7"/>
      <c r="OQ35" s="7"/>
      <c r="OR35" s="7"/>
      <c r="OS35" s="7"/>
      <c r="OT35" s="7"/>
      <c r="OU35" s="7"/>
      <c r="OV35" s="7"/>
      <c r="OW35" s="7"/>
      <c r="OX35" s="7"/>
      <c r="OY35" s="7"/>
      <c r="OZ35" s="7"/>
      <c r="PA35" s="7"/>
      <c r="PB35" s="7"/>
      <c r="PC35" s="7"/>
      <c r="PD35" s="7"/>
      <c r="PE35" s="7"/>
      <c r="PF35" s="7"/>
      <c r="PG35" s="7"/>
      <c r="PH35" s="7"/>
      <c r="PI35" s="7"/>
      <c r="PJ35" s="7"/>
      <c r="PK35" s="7"/>
      <c r="PL35" s="7"/>
      <c r="PM35" s="7"/>
      <c r="PN35" s="7"/>
      <c r="PO35" s="7"/>
      <c r="PP35" s="7"/>
      <c r="PQ35" s="7"/>
      <c r="PR35" s="7"/>
      <c r="PS35" s="7"/>
      <c r="PT35" s="7"/>
      <c r="PU35" s="7"/>
      <c r="PV35" s="7"/>
      <c r="PW35" s="7"/>
      <c r="PX35" s="7"/>
      <c r="PY35" s="7"/>
      <c r="PZ35" s="7"/>
      <c r="QA35" s="7"/>
      <c r="QB35" s="7"/>
      <c r="QC35" s="7"/>
      <c r="QD35" s="7"/>
      <c r="QE35" s="7"/>
      <c r="QF35" s="7"/>
      <c r="QG35" s="7"/>
      <c r="QH35" s="7"/>
      <c r="QI35" s="7"/>
      <c r="QJ35" s="7"/>
      <c r="QK35" s="7"/>
      <c r="QL35" s="7"/>
      <c r="QM35" s="7"/>
      <c r="QN35" s="7"/>
      <c r="QO35" s="7"/>
      <c r="QP35" s="7"/>
      <c r="QQ35" s="7"/>
      <c r="QR35" s="7"/>
      <c r="QS35" s="7"/>
      <c r="QT35" s="7"/>
      <c r="QU35" s="7"/>
      <c r="QV35" s="7"/>
      <c r="QW35" s="7"/>
      <c r="QX35" s="7"/>
      <c r="QY35" s="7"/>
      <c r="QZ35" s="7"/>
      <c r="RA35" s="7"/>
      <c r="RB35" s="7"/>
      <c r="RC35" s="7"/>
      <c r="RD35" s="7"/>
      <c r="RE35" s="7"/>
      <c r="RF35" s="7"/>
      <c r="RG35" s="7"/>
      <c r="RH35" s="7"/>
      <c r="RI35" s="7"/>
      <c r="RJ35" s="7"/>
      <c r="RK35" s="7"/>
      <c r="RL35" s="7"/>
      <c r="RM35" s="7"/>
      <c r="RN35" s="7"/>
      <c r="RO35" s="7"/>
      <c r="RP35" s="7"/>
      <c r="RQ35" s="7"/>
      <c r="RR35" s="7"/>
      <c r="RS35" s="7"/>
      <c r="RT35" s="7"/>
      <c r="RU35" s="7"/>
      <c r="RV35" s="7"/>
      <c r="RW35" s="7"/>
      <c r="RX35" s="7"/>
      <c r="RY35" s="7"/>
      <c r="RZ35" s="7"/>
      <c r="SA35" s="7"/>
      <c r="SB35" s="7"/>
      <c r="SC35" s="7"/>
      <c r="SD35" s="7"/>
      <c r="SE35" s="7"/>
      <c r="SF35" s="7"/>
      <c r="SG35" s="7"/>
      <c r="SH35" s="7"/>
      <c r="SI35" s="7"/>
      <c r="SJ35" s="7"/>
      <c r="SK35" s="7"/>
      <c r="SL35" s="7"/>
      <c r="SM35" s="7"/>
      <c r="SN35" s="7"/>
      <c r="SO35" s="7"/>
      <c r="SP35" s="7"/>
      <c r="SQ35" s="7"/>
      <c r="SR35" s="7"/>
      <c r="SS35" s="7"/>
      <c r="ST35" s="7"/>
      <c r="SU35" s="7"/>
      <c r="SV35" s="7"/>
      <c r="SW35" s="7"/>
      <c r="SX35" s="7"/>
      <c r="SY35" s="7"/>
      <c r="SZ35" s="7"/>
      <c r="TA35" s="7"/>
      <c r="TB35" s="7"/>
      <c r="TC35" s="7"/>
      <c r="TD35" s="7"/>
      <c r="TE35" s="7"/>
      <c r="TF35" s="7"/>
      <c r="TG35" s="7"/>
      <c r="TH35" s="7"/>
      <c r="TI35" s="7"/>
      <c r="TJ35" s="7"/>
      <c r="TK35" s="7"/>
      <c r="TL35" s="7"/>
      <c r="TM35" s="7"/>
      <c r="TN35" s="7"/>
      <c r="TO35" s="7"/>
      <c r="TP35" s="7"/>
      <c r="TQ35" s="7"/>
      <c r="TR35" s="7"/>
      <c r="TS35" s="7"/>
      <c r="TT35" s="7"/>
      <c r="TU35" s="7"/>
      <c r="TV35" s="7"/>
      <c r="TW35" s="7"/>
      <c r="TX35" s="7"/>
      <c r="TY35" s="7"/>
      <c r="TZ35" s="7"/>
      <c r="UA35" s="7"/>
      <c r="UB35" s="7"/>
      <c r="UC35" s="7"/>
      <c r="UD35" s="7"/>
      <c r="UE35" s="7"/>
      <c r="UF35" s="7"/>
      <c r="UG35" s="7"/>
      <c r="UH35" s="7"/>
      <c r="UI35" s="7"/>
      <c r="UJ35" s="7"/>
      <c r="UK35" s="7"/>
      <c r="UL35" s="7"/>
      <c r="UM35" s="7"/>
      <c r="UN35" s="7"/>
      <c r="UO35" s="7"/>
      <c r="UP35" s="7"/>
      <c r="UQ35" s="7"/>
      <c r="UR35" s="7"/>
      <c r="US35" s="7"/>
      <c r="UT35" s="7"/>
      <c r="UU35" s="7"/>
      <c r="UV35" s="7"/>
      <c r="UW35" s="7"/>
      <c r="UX35" s="7"/>
      <c r="UY35" s="7"/>
      <c r="UZ35" s="7"/>
      <c r="VA35" s="7"/>
      <c r="VB35" s="7"/>
      <c r="VC35" s="7"/>
      <c r="VD35" s="7"/>
      <c r="VE35" s="7"/>
      <c r="VF35" s="7"/>
      <c r="VG35" s="7"/>
      <c r="VH35" s="7"/>
      <c r="VI35" s="7"/>
      <c r="VJ35" s="7"/>
      <c r="VK35" s="7"/>
      <c r="VL35" s="7"/>
      <c r="VM35" s="7"/>
      <c r="VN35" s="7"/>
      <c r="VO35" s="7"/>
      <c r="VP35" s="7"/>
      <c r="VQ35" s="7"/>
      <c r="VR35" s="7"/>
      <c r="VS35" s="7"/>
      <c r="VT35" s="7"/>
      <c r="VU35" s="7"/>
      <c r="VV35" s="7"/>
      <c r="VW35" s="7"/>
      <c r="VX35" s="7"/>
      <c r="VY35" s="7"/>
      <c r="VZ35" s="7"/>
      <c r="WA35" s="7"/>
      <c r="WB35" s="7"/>
      <c r="WC35" s="7"/>
      <c r="WD35" s="7"/>
      <c r="WE35" s="7"/>
      <c r="WF35" s="7"/>
      <c r="WG35" s="7"/>
      <c r="WH35" s="7"/>
      <c r="WI35" s="7"/>
      <c r="WJ35" s="7"/>
      <c r="WK35" s="7"/>
      <c r="WL35" s="7"/>
      <c r="WM35" s="7"/>
      <c r="WN35" s="7"/>
      <c r="WO35" s="7"/>
      <c r="WP35" s="7"/>
      <c r="WQ35" s="7"/>
      <c r="WR35" s="7"/>
      <c r="WS35" s="7"/>
      <c r="WT35" s="7"/>
      <c r="WU35" s="7"/>
      <c r="WV35" s="7"/>
      <c r="WW35" s="7"/>
      <c r="WX35" s="7"/>
      <c r="WY35" s="7"/>
      <c r="WZ35" s="7"/>
      <c r="XA35" s="7"/>
      <c r="XB35" s="7"/>
      <c r="XC35" s="7"/>
      <c r="XD35" s="7"/>
      <c r="XE35" s="7"/>
      <c r="XF35" s="7"/>
      <c r="XG35" s="7"/>
      <c r="XH35" s="7"/>
      <c r="XI35" s="7"/>
      <c r="XJ35" s="7"/>
      <c r="XK35" s="7"/>
      <c r="XL35" s="7"/>
      <c r="XM35" s="7"/>
      <c r="XN35" s="7"/>
      <c r="XO35" s="7"/>
      <c r="XP35" s="7"/>
      <c r="XQ35" s="7"/>
      <c r="XR35" s="7"/>
      <c r="XS35" s="7"/>
      <c r="XT35" s="7"/>
      <c r="XU35" s="7"/>
      <c r="XV35" s="7"/>
      <c r="XW35" s="7"/>
      <c r="XX35" s="7"/>
      <c r="XY35" s="7"/>
      <c r="XZ35" s="7"/>
      <c r="YA35" s="7"/>
      <c r="YB35" s="7"/>
      <c r="YC35" s="7"/>
      <c r="YD35" s="7"/>
      <c r="YE35" s="7"/>
      <c r="YF35" s="7"/>
      <c r="YG35" s="7"/>
      <c r="YH35" s="7"/>
      <c r="YI35" s="7"/>
      <c r="YJ35" s="7"/>
      <c r="YK35" s="7"/>
      <c r="YL35" s="7"/>
      <c r="YM35" s="7"/>
      <c r="YN35" s="7"/>
      <c r="YO35" s="7"/>
      <c r="YP35" s="7"/>
      <c r="YQ35" s="7"/>
      <c r="YR35" s="7"/>
      <c r="YS35" s="7"/>
      <c r="YT35" s="7"/>
      <c r="YU35" s="7"/>
      <c r="YV35" s="7"/>
      <c r="YW35" s="7"/>
      <c r="YX35" s="7"/>
      <c r="YY35" s="7"/>
      <c r="YZ35" s="7"/>
      <c r="ZA35" s="7"/>
      <c r="ZB35" s="7"/>
      <c r="ZC35" s="7"/>
      <c r="ZD35" s="7"/>
      <c r="ZE35" s="7"/>
      <c r="ZF35" s="7"/>
      <c r="ZG35" s="7"/>
      <c r="ZH35" s="7"/>
      <c r="ZI35" s="7"/>
      <c r="ZJ35" s="7"/>
      <c r="ZK35" s="7"/>
      <c r="ZL35" s="7"/>
      <c r="ZM35" s="7"/>
      <c r="ZN35" s="7"/>
      <c r="ZO35" s="7"/>
      <c r="ZP35" s="7"/>
      <c r="ZQ35" s="7"/>
      <c r="ZR35" s="7"/>
      <c r="ZS35" s="7"/>
      <c r="ZT35" s="7"/>
      <c r="ZU35" s="7"/>
      <c r="ZV35" s="7"/>
      <c r="ZW35" s="7"/>
      <c r="ZX35" s="7"/>
      <c r="ZY35" s="7"/>
      <c r="ZZ35" s="7"/>
      <c r="AAA35" s="7"/>
      <c r="AAB35" s="7"/>
      <c r="AAC35" s="7"/>
      <c r="AAD35" s="7"/>
      <c r="AAE35" s="7"/>
      <c r="AAF35" s="7"/>
      <c r="AAG35" s="7"/>
      <c r="AAH35" s="7"/>
      <c r="AAI35" s="7"/>
      <c r="AAJ35" s="7"/>
      <c r="AAK35" s="7"/>
      <c r="AAL35" s="7"/>
      <c r="AAM35" s="7"/>
      <c r="AAN35" s="7"/>
      <c r="AAO35" s="7"/>
      <c r="AAP35" s="7"/>
      <c r="AAQ35" s="7"/>
      <c r="AAR35" s="7"/>
      <c r="AAS35" s="7"/>
      <c r="AAT35" s="7"/>
      <c r="AAU35" s="7"/>
      <c r="AAV35" s="7"/>
      <c r="AAW35" s="7"/>
      <c r="AAX35" s="7"/>
      <c r="AAY35" s="7"/>
      <c r="AAZ35" s="7"/>
      <c r="ABA35" s="7"/>
      <c r="ABB35" s="7"/>
      <c r="ABC35" s="7"/>
      <c r="ABD35" s="7"/>
      <c r="ABE35" s="7"/>
      <c r="ABF35" s="7"/>
      <c r="ABG35" s="7"/>
      <c r="ABH35" s="7"/>
      <c r="ABI35" s="7"/>
      <c r="ABJ35" s="7"/>
      <c r="ABK35" s="7"/>
      <c r="ABL35" s="7"/>
      <c r="ABM35" s="7"/>
      <c r="ABN35" s="7"/>
      <c r="ABO35" s="7"/>
      <c r="ABP35" s="7"/>
      <c r="ABQ35" s="7"/>
      <c r="ABR35" s="7"/>
      <c r="ABS35" s="7"/>
      <c r="ABT35" s="7"/>
      <c r="ABU35" s="7"/>
      <c r="ABV35" s="7"/>
      <c r="ABW35" s="7"/>
      <c r="ABX35" s="7"/>
      <c r="ABY35" s="7"/>
      <c r="ABZ35" s="7"/>
      <c r="ACA35" s="7"/>
      <c r="ACB35" s="7"/>
      <c r="ACC35" s="7"/>
      <c r="ACD35" s="7"/>
      <c r="ACE35" s="7"/>
      <c r="ACF35" s="7"/>
      <c r="ACG35" s="7"/>
      <c r="ACH35" s="7"/>
      <c r="ACI35" s="7"/>
      <c r="ACJ35" s="7"/>
      <c r="ACK35" s="7"/>
      <c r="ACL35" s="7"/>
      <c r="ACM35" s="7"/>
      <c r="ACN35" s="7"/>
      <c r="ACO35" s="7"/>
      <c r="ACP35" s="7"/>
      <c r="ACQ35" s="7"/>
      <c r="ACR35" s="7"/>
      <c r="ACS35" s="7"/>
      <c r="ACT35" s="7"/>
      <c r="ACU35" s="7"/>
      <c r="ACV35" s="7"/>
      <c r="ACW35" s="7"/>
      <c r="ACX35" s="7"/>
      <c r="ACY35" s="7"/>
      <c r="ACZ35" s="7"/>
      <c r="ADA35" s="7"/>
      <c r="ADB35" s="7"/>
      <c r="ADC35" s="7"/>
      <c r="ADD35" s="7"/>
      <c r="ADE35" s="7"/>
      <c r="ADF35" s="7"/>
      <c r="ADG35" s="7"/>
      <c r="ADH35" s="7"/>
      <c r="ADI35" s="7"/>
      <c r="ADJ35" s="7"/>
      <c r="ADK35" s="7"/>
      <c r="ADL35" s="7"/>
      <c r="ADM35" s="7"/>
      <c r="ADN35" s="7"/>
      <c r="ADO35" s="7"/>
      <c r="ADP35" s="7"/>
      <c r="ADQ35" s="7"/>
      <c r="ADR35" s="7"/>
      <c r="ADS35" s="7"/>
      <c r="ADT35" s="7"/>
      <c r="ADU35" s="7"/>
      <c r="ADV35" s="7"/>
      <c r="ADW35" s="7"/>
      <c r="ADX35" s="7"/>
      <c r="ADY35" s="7"/>
      <c r="ADZ35" s="7"/>
      <c r="AEA35" s="7"/>
      <c r="AEB35" s="7"/>
      <c r="AEC35" s="7"/>
      <c r="AED35" s="7"/>
      <c r="AEE35" s="7"/>
      <c r="AEF35" s="7"/>
      <c r="AEG35" s="7"/>
      <c r="AEH35" s="7"/>
      <c r="AEI35" s="7"/>
      <c r="AEJ35" s="7"/>
      <c r="AEK35" s="7"/>
      <c r="AEL35" s="7"/>
      <c r="AEM35" s="7"/>
      <c r="AEN35" s="7"/>
      <c r="AEO35" s="7"/>
      <c r="AEP35" s="7"/>
      <c r="AEQ35" s="7"/>
      <c r="AER35" s="7"/>
      <c r="AES35" s="7"/>
      <c r="AET35" s="7"/>
      <c r="AEU35" s="7"/>
      <c r="AEV35" s="7"/>
      <c r="AEW35" s="7"/>
      <c r="AEX35" s="7"/>
      <c r="AEY35" s="7"/>
      <c r="AEZ35" s="7"/>
      <c r="AFA35" s="7"/>
      <c r="AFB35" s="7"/>
      <c r="AFC35" s="7"/>
      <c r="AFD35" s="7"/>
      <c r="AFE35" s="7"/>
      <c r="AFF35" s="7"/>
      <c r="AFG35" s="7"/>
      <c r="AFH35" s="7"/>
      <c r="AFI35" s="7"/>
      <c r="AFJ35" s="7"/>
      <c r="AFK35" s="7"/>
      <c r="AFL35" s="7"/>
      <c r="AFM35" s="7"/>
      <c r="AFN35" s="7"/>
      <c r="AFO35" s="7"/>
      <c r="AFP35" s="7"/>
      <c r="AFQ35" s="7"/>
      <c r="AFR35" s="7"/>
      <c r="AFS35" s="7"/>
      <c r="AFT35" s="7"/>
      <c r="AFU35" s="7"/>
      <c r="AFV35" s="7"/>
      <c r="AFW35" s="7"/>
      <c r="AFX35" s="7"/>
      <c r="AFY35" s="7"/>
      <c r="AFZ35" s="7"/>
      <c r="AGA35" s="7"/>
      <c r="AGB35" s="7"/>
      <c r="AGC35" s="7"/>
      <c r="AGD35" s="7"/>
      <c r="AGE35" s="7"/>
      <c r="AGF35" s="7"/>
      <c r="AGG35" s="7"/>
      <c r="AGH35" s="7"/>
      <c r="AGI35" s="7"/>
      <c r="AGJ35" s="7"/>
      <c r="AGK35" s="7"/>
      <c r="AGL35" s="7"/>
      <c r="AGM35" s="7"/>
      <c r="AGN35" s="7"/>
      <c r="AGO35" s="7"/>
      <c r="AGP35" s="7"/>
      <c r="AGQ35" s="7"/>
      <c r="AGR35" s="7"/>
      <c r="AGS35" s="7"/>
      <c r="AGT35" s="7"/>
      <c r="AGU35" s="7"/>
      <c r="AGV35" s="7"/>
      <c r="AGW35" s="7"/>
      <c r="AGX35" s="7"/>
      <c r="AGY35" s="7"/>
      <c r="AGZ35" s="7"/>
      <c r="AHA35" s="7"/>
      <c r="AHB35" s="7"/>
      <c r="AHC35" s="7"/>
      <c r="AHD35" s="7"/>
      <c r="AHE35" s="7"/>
      <c r="AHF35" s="7"/>
      <c r="AHG35" s="7"/>
      <c r="AHH35" s="7"/>
      <c r="AHI35" s="7"/>
      <c r="AHJ35" s="7"/>
      <c r="AHK35" s="7"/>
      <c r="AHL35" s="7"/>
      <c r="AHM35" s="7"/>
      <c r="AHN35" s="7"/>
      <c r="AHO35" s="7"/>
      <c r="AHP35" s="7"/>
      <c r="AHQ35" s="7"/>
      <c r="AHR35" s="7"/>
      <c r="AHS35" s="7"/>
      <c r="AHT35" s="7"/>
      <c r="AHU35" s="7"/>
      <c r="AHV35" s="7"/>
      <c r="AHW35" s="7"/>
      <c r="AHX35" s="7"/>
      <c r="AHY35" s="7"/>
      <c r="AHZ35" s="7"/>
      <c r="AIA35" s="7"/>
      <c r="AIB35" s="7"/>
      <c r="AIC35" s="7"/>
      <c r="AID35" s="7"/>
      <c r="AIE35" s="7"/>
      <c r="AIF35" s="7"/>
      <c r="AIG35" s="7"/>
      <c r="AIH35" s="7"/>
      <c r="AII35" s="7"/>
      <c r="AIJ35" s="7"/>
      <c r="AIK35" s="7"/>
      <c r="AIL35" s="7"/>
      <c r="AIM35" s="7"/>
      <c r="AIN35" s="7"/>
      <c r="AIO35" s="7"/>
      <c r="AIP35" s="7"/>
      <c r="AIQ35" s="7"/>
      <c r="AIR35" s="7"/>
      <c r="AIS35" s="7"/>
      <c r="AIT35" s="7"/>
      <c r="AIU35" s="7"/>
      <c r="AIV35" s="7"/>
      <c r="AIW35" s="7"/>
      <c r="AIX35" s="7"/>
      <c r="AIY35" s="7"/>
      <c r="AIZ35" s="7"/>
      <c r="AJA35" s="7"/>
      <c r="AJB35" s="7"/>
      <c r="AJC35" s="7"/>
      <c r="AJD35" s="7"/>
      <c r="AJE35" s="7"/>
      <c r="AJF35" s="7"/>
      <c r="AJG35" s="7"/>
      <c r="AJH35" s="7"/>
      <c r="AJI35" s="7"/>
      <c r="AJJ35" s="7"/>
      <c r="AJK35" s="7"/>
      <c r="AJL35" s="7"/>
      <c r="AJM35" s="7"/>
      <c r="AJN35" s="7"/>
      <c r="AJO35" s="7"/>
      <c r="AJP35" s="7"/>
      <c r="AJQ35" s="7"/>
      <c r="AJR35" s="7"/>
      <c r="AJS35" s="7"/>
      <c r="AJT35" s="7"/>
      <c r="AJU35" s="7"/>
      <c r="AJV35" s="7"/>
      <c r="AJW35" s="7"/>
      <c r="AJX35" s="7"/>
      <c r="AJY35" s="7"/>
      <c r="AJZ35" s="7"/>
      <c r="AKA35" s="7"/>
      <c r="AKB35" s="7"/>
      <c r="AKC35" s="7"/>
      <c r="AKD35" s="7"/>
      <c r="AKE35" s="7"/>
      <c r="AKF35" s="7"/>
      <c r="AKG35" s="7"/>
      <c r="AKH35" s="7"/>
      <c r="AKI35" s="7"/>
      <c r="AKJ35" s="7"/>
      <c r="AKK35" s="7"/>
      <c r="AKL35" s="7"/>
      <c r="AKM35" s="7"/>
      <c r="AKN35" s="7"/>
      <c r="AKO35" s="7"/>
      <c r="AKP35" s="7"/>
      <c r="AKQ35" s="7"/>
      <c r="AKR35" s="7"/>
      <c r="AKS35" s="7"/>
      <c r="AKT35" s="7"/>
      <c r="AKU35" s="7"/>
      <c r="AKV35" s="7"/>
      <c r="AKW35" s="7"/>
      <c r="AKX35" s="7"/>
      <c r="AKY35" s="7"/>
      <c r="AKZ35" s="7"/>
      <c r="ALA35" s="7"/>
      <c r="ALB35" s="7"/>
      <c r="ALC35" s="7"/>
      <c r="ALD35" s="7"/>
      <c r="ALE35" s="7"/>
      <c r="ALF35" s="7"/>
      <c r="ALG35" s="7"/>
      <c r="ALH35" s="7"/>
      <c r="ALI35" s="7"/>
      <c r="ALJ35" s="7"/>
      <c r="ALK35" s="7"/>
      <c r="ALL35" s="7"/>
      <c r="ALM35" s="7"/>
      <c r="ALN35" s="7"/>
      <c r="ALO35" s="7"/>
      <c r="ALP35" s="7"/>
      <c r="ALQ35" s="7"/>
      <c r="ALR35" s="7"/>
      <c r="ALS35" s="7"/>
      <c r="ALT35" s="7"/>
      <c r="ALU35" s="7"/>
      <c r="ALV35" s="7"/>
      <c r="ALW35" s="7"/>
      <c r="ALX35" s="7"/>
      <c r="ALY35" s="7"/>
      <c r="ALZ35" s="7"/>
      <c r="AMA35" s="7"/>
      <c r="AMB35" s="7"/>
      <c r="AMC35" s="7"/>
      <c r="AMD35" s="7"/>
      <c r="AME35" s="7"/>
      <c r="AMF35" s="7"/>
      <c r="AMG35" s="7"/>
      <c r="AMH35" s="7"/>
      <c r="AMI35" s="7"/>
      <c r="AMJ35" s="7"/>
      <c r="AMK35" s="7"/>
    </row>
    <row r="36" spans="1:1025">
      <c r="B36" s="109" t="s">
        <v>140</v>
      </c>
      <c r="C36" s="110"/>
      <c r="D36" s="110"/>
      <c r="E36" s="110"/>
      <c r="F36" s="110"/>
      <c r="G36" s="110"/>
      <c r="H36" s="110"/>
      <c r="I36" s="110"/>
      <c r="J36" s="111"/>
    </row>
    <row r="37" spans="1:1025" s="4" customFormat="1" ht="40.5" customHeight="1" thickBot="1">
      <c r="A37" s="7"/>
      <c r="B37" s="106"/>
      <c r="C37" s="107"/>
      <c r="D37" s="107"/>
      <c r="E37" s="107"/>
      <c r="F37" s="107"/>
      <c r="G37" s="107"/>
      <c r="H37" s="107"/>
      <c r="I37" s="107"/>
      <c r="J37" s="108"/>
      <c r="K37" s="18"/>
      <c r="L37" s="7"/>
      <c r="M37" s="7"/>
      <c r="N37" s="7"/>
      <c r="O37" s="7"/>
      <c r="P37" s="7"/>
      <c r="Q37" s="7"/>
      <c r="R37" s="7"/>
      <c r="S37" s="7"/>
      <c r="T37" s="7"/>
      <c r="U37" s="7"/>
      <c r="V37" s="7"/>
      <c r="W37" s="7"/>
      <c r="X37" s="7"/>
      <c r="Y37" s="7"/>
      <c r="Z37" s="7"/>
      <c r="AA37" s="7"/>
      <c r="AB37" s="7"/>
      <c r="AC37" s="7"/>
      <c r="AD37" s="7"/>
      <c r="AE37" s="7"/>
      <c r="AF37" s="7"/>
      <c r="AG37" s="7"/>
      <c r="AH37" s="7"/>
      <c r="AI37" s="7"/>
      <c r="AJ37" s="7"/>
      <c r="AK37" s="7"/>
      <c r="AL37" s="7"/>
      <c r="AM37" s="7"/>
      <c r="AN37" s="7"/>
      <c r="AO37" s="7"/>
      <c r="AP37" s="7"/>
      <c r="AQ37" s="7"/>
      <c r="AR37" s="7"/>
      <c r="AS37" s="7"/>
      <c r="AT37" s="7"/>
      <c r="AU37" s="7"/>
      <c r="AV37" s="7"/>
      <c r="AW37" s="7"/>
      <c r="AX37" s="7"/>
      <c r="AY37" s="7"/>
      <c r="AZ37" s="7"/>
      <c r="BA37" s="7"/>
      <c r="BB37" s="7"/>
      <c r="BC37" s="7"/>
      <c r="BD37" s="7"/>
      <c r="BE37" s="7"/>
      <c r="BF37" s="7"/>
      <c r="BG37" s="7"/>
      <c r="BH37" s="7"/>
      <c r="BI37" s="7"/>
      <c r="BJ37" s="7"/>
      <c r="BK37" s="7"/>
      <c r="BL37" s="7"/>
      <c r="BM37" s="7"/>
      <c r="BN37" s="7"/>
      <c r="BO37" s="7"/>
      <c r="BP37" s="7"/>
      <c r="BQ37" s="7"/>
      <c r="BR37" s="7"/>
      <c r="BS37" s="7"/>
      <c r="BT37" s="7"/>
      <c r="BU37" s="7"/>
      <c r="BV37" s="7"/>
      <c r="BW37" s="7"/>
      <c r="BX37" s="7"/>
      <c r="BY37" s="7"/>
      <c r="BZ37" s="7"/>
      <c r="CA37" s="7"/>
      <c r="CB37" s="7"/>
      <c r="CC37" s="7"/>
      <c r="CD37" s="7"/>
      <c r="CE37" s="7"/>
      <c r="CF37" s="7"/>
      <c r="CG37" s="7"/>
      <c r="CH37" s="7"/>
      <c r="CI37" s="7"/>
      <c r="CJ37" s="7"/>
      <c r="CK37" s="7"/>
      <c r="CL37" s="7"/>
      <c r="CM37" s="7"/>
      <c r="CN37" s="7"/>
      <c r="CO37" s="7"/>
      <c r="CP37" s="7"/>
      <c r="CQ37" s="7"/>
      <c r="CR37" s="7"/>
      <c r="CS37" s="7"/>
      <c r="CT37" s="7"/>
      <c r="CU37" s="7"/>
      <c r="CV37" s="7"/>
      <c r="CW37" s="7"/>
      <c r="CX37" s="7"/>
      <c r="CY37" s="7"/>
      <c r="CZ37" s="7"/>
      <c r="DA37" s="7"/>
      <c r="DB37" s="7"/>
      <c r="DC37" s="7"/>
      <c r="DD37" s="7"/>
      <c r="DE37" s="7"/>
      <c r="DF37" s="7"/>
      <c r="DG37" s="7"/>
      <c r="DH37" s="7"/>
      <c r="DI37" s="7"/>
      <c r="DJ37" s="7"/>
      <c r="DK37" s="7"/>
      <c r="DL37" s="7"/>
      <c r="DM37" s="7"/>
      <c r="DN37" s="7"/>
      <c r="DO37" s="7"/>
      <c r="DP37" s="7"/>
      <c r="DQ37" s="7"/>
      <c r="DR37" s="7"/>
      <c r="DS37" s="7"/>
      <c r="DT37" s="7"/>
      <c r="DU37" s="7"/>
      <c r="DV37" s="7"/>
      <c r="DW37" s="7"/>
      <c r="DX37" s="7"/>
      <c r="DY37" s="7"/>
      <c r="DZ37" s="7"/>
      <c r="EA37" s="7"/>
      <c r="EB37" s="7"/>
      <c r="EC37" s="7"/>
      <c r="ED37" s="7"/>
      <c r="EE37" s="7"/>
      <c r="EF37" s="7"/>
      <c r="EG37" s="7"/>
      <c r="EH37" s="7"/>
      <c r="EI37" s="7"/>
      <c r="EJ37" s="7"/>
      <c r="EK37" s="7"/>
      <c r="EL37" s="7"/>
      <c r="EM37" s="7"/>
      <c r="EN37" s="7"/>
      <c r="EO37" s="7"/>
      <c r="EP37" s="7"/>
      <c r="EQ37" s="7"/>
      <c r="ER37" s="7"/>
      <c r="ES37" s="7"/>
      <c r="ET37" s="7"/>
      <c r="EU37" s="7"/>
      <c r="EV37" s="7"/>
      <c r="EW37" s="7"/>
      <c r="EX37" s="7"/>
      <c r="EY37" s="7"/>
      <c r="EZ37" s="7"/>
      <c r="FA37" s="7"/>
      <c r="FB37" s="7"/>
      <c r="FC37" s="7"/>
      <c r="FD37" s="7"/>
      <c r="FE37" s="7"/>
      <c r="FF37" s="7"/>
      <c r="FG37" s="7"/>
      <c r="FH37" s="7"/>
      <c r="FI37" s="7"/>
      <c r="FJ37" s="7"/>
      <c r="FK37" s="7"/>
      <c r="FL37" s="7"/>
      <c r="FM37" s="7"/>
      <c r="FN37" s="7"/>
      <c r="FO37" s="7"/>
      <c r="FP37" s="7"/>
      <c r="FQ37" s="7"/>
      <c r="FR37" s="7"/>
      <c r="FS37" s="7"/>
      <c r="FT37" s="7"/>
      <c r="FU37" s="7"/>
      <c r="FV37" s="7"/>
      <c r="FW37" s="7"/>
      <c r="FX37" s="7"/>
      <c r="FY37" s="7"/>
      <c r="FZ37" s="7"/>
      <c r="GA37" s="7"/>
      <c r="GB37" s="7"/>
      <c r="GC37" s="7"/>
      <c r="GD37" s="7"/>
      <c r="GE37" s="7"/>
      <c r="GF37" s="7"/>
      <c r="GG37" s="7"/>
      <c r="GH37" s="7"/>
      <c r="GI37" s="7"/>
      <c r="GJ37" s="7"/>
      <c r="GK37" s="7"/>
      <c r="GL37" s="7"/>
      <c r="GM37" s="7"/>
      <c r="GN37" s="7"/>
      <c r="GO37" s="7"/>
      <c r="GP37" s="7"/>
      <c r="GQ37" s="7"/>
      <c r="GR37" s="7"/>
      <c r="GS37" s="7"/>
      <c r="GT37" s="7"/>
      <c r="GU37" s="7"/>
      <c r="GV37" s="7"/>
      <c r="GW37" s="7"/>
      <c r="GX37" s="7"/>
      <c r="GY37" s="7"/>
      <c r="GZ37" s="7"/>
      <c r="HA37" s="7"/>
      <c r="HB37" s="7"/>
      <c r="HC37" s="7"/>
      <c r="HD37" s="7"/>
      <c r="HE37" s="7"/>
      <c r="HF37" s="7"/>
      <c r="HG37" s="7"/>
      <c r="HH37" s="7"/>
      <c r="HI37" s="7"/>
      <c r="HJ37" s="7"/>
      <c r="HK37" s="7"/>
      <c r="HL37" s="7"/>
      <c r="HM37" s="7"/>
      <c r="HN37" s="7"/>
      <c r="HO37" s="7"/>
      <c r="HP37" s="7"/>
      <c r="HQ37" s="7"/>
      <c r="HR37" s="7"/>
      <c r="HS37" s="7"/>
      <c r="HT37" s="7"/>
      <c r="HU37" s="7"/>
      <c r="HV37" s="7"/>
      <c r="HW37" s="7"/>
      <c r="HX37" s="7"/>
      <c r="HY37" s="7"/>
      <c r="HZ37" s="7"/>
      <c r="IA37" s="7"/>
      <c r="IB37" s="7"/>
      <c r="IC37" s="7"/>
      <c r="ID37" s="7"/>
      <c r="IE37" s="7"/>
      <c r="IF37" s="7"/>
      <c r="IG37" s="7"/>
      <c r="IH37" s="7"/>
      <c r="II37" s="7"/>
      <c r="IJ37" s="7"/>
      <c r="IK37" s="7"/>
      <c r="IL37" s="7"/>
      <c r="IM37" s="7"/>
      <c r="IN37" s="7"/>
      <c r="IO37" s="7"/>
      <c r="IP37" s="7"/>
      <c r="IQ37" s="7"/>
      <c r="IR37" s="7"/>
      <c r="IS37" s="7"/>
      <c r="IT37" s="7"/>
      <c r="IU37" s="7"/>
      <c r="IV37" s="7"/>
      <c r="IW37" s="7"/>
      <c r="IX37" s="7"/>
      <c r="IY37" s="7"/>
      <c r="IZ37" s="7"/>
      <c r="JA37" s="7"/>
      <c r="JB37" s="7"/>
      <c r="JC37" s="7"/>
      <c r="JD37" s="7"/>
      <c r="JE37" s="7"/>
      <c r="JF37" s="7"/>
      <c r="JG37" s="7"/>
      <c r="JH37" s="7"/>
      <c r="JI37" s="7"/>
      <c r="JJ37" s="7"/>
      <c r="JK37" s="7"/>
      <c r="JL37" s="7"/>
      <c r="JM37" s="7"/>
      <c r="JN37" s="7"/>
      <c r="JO37" s="7"/>
      <c r="JP37" s="7"/>
      <c r="JQ37" s="7"/>
      <c r="JR37" s="7"/>
      <c r="JS37" s="7"/>
      <c r="JT37" s="7"/>
      <c r="JU37" s="7"/>
      <c r="JV37" s="7"/>
      <c r="JW37" s="7"/>
      <c r="JX37" s="7"/>
      <c r="JY37" s="7"/>
      <c r="JZ37" s="7"/>
      <c r="KA37" s="7"/>
      <c r="KB37" s="7"/>
      <c r="KC37" s="7"/>
      <c r="KD37" s="7"/>
      <c r="KE37" s="7"/>
      <c r="KF37" s="7"/>
      <c r="KG37" s="7"/>
      <c r="KH37" s="7"/>
      <c r="KI37" s="7"/>
      <c r="KJ37" s="7"/>
      <c r="KK37" s="7"/>
      <c r="KL37" s="7"/>
      <c r="KM37" s="7"/>
      <c r="KN37" s="7"/>
      <c r="KO37" s="7"/>
      <c r="KP37" s="7"/>
      <c r="KQ37" s="7"/>
      <c r="KR37" s="7"/>
      <c r="KS37" s="7"/>
      <c r="KT37" s="7"/>
      <c r="KU37" s="7"/>
      <c r="KV37" s="7"/>
      <c r="KW37" s="7"/>
      <c r="KX37" s="7"/>
      <c r="KY37" s="7"/>
      <c r="KZ37" s="7"/>
      <c r="LA37" s="7"/>
      <c r="LB37" s="7"/>
      <c r="LC37" s="7"/>
      <c r="LD37" s="7"/>
      <c r="LE37" s="7"/>
      <c r="LF37" s="7"/>
      <c r="LG37" s="7"/>
      <c r="LH37" s="7"/>
      <c r="LI37" s="7"/>
      <c r="LJ37" s="7"/>
      <c r="LK37" s="7"/>
      <c r="LL37" s="7"/>
      <c r="LM37" s="7"/>
      <c r="LN37" s="7"/>
      <c r="LO37" s="7"/>
      <c r="LP37" s="7"/>
      <c r="LQ37" s="7"/>
      <c r="LR37" s="7"/>
      <c r="LS37" s="7"/>
      <c r="LT37" s="7"/>
      <c r="LU37" s="7"/>
      <c r="LV37" s="7"/>
      <c r="LW37" s="7"/>
      <c r="LX37" s="7"/>
      <c r="LY37" s="7"/>
      <c r="LZ37" s="7"/>
      <c r="MA37" s="7"/>
      <c r="MB37" s="7"/>
      <c r="MC37" s="7"/>
      <c r="MD37" s="7"/>
      <c r="ME37" s="7"/>
      <c r="MF37" s="7"/>
      <c r="MG37" s="7"/>
      <c r="MH37" s="7"/>
      <c r="MI37" s="7"/>
      <c r="MJ37" s="7"/>
      <c r="MK37" s="7"/>
      <c r="ML37" s="7"/>
      <c r="MM37" s="7"/>
      <c r="MN37" s="7"/>
      <c r="MO37" s="7"/>
      <c r="MP37" s="7"/>
      <c r="MQ37" s="7"/>
      <c r="MR37" s="7"/>
      <c r="MS37" s="7"/>
      <c r="MT37" s="7"/>
      <c r="MU37" s="7"/>
      <c r="MV37" s="7"/>
      <c r="MW37" s="7"/>
      <c r="MX37" s="7"/>
      <c r="MY37" s="7"/>
      <c r="MZ37" s="7"/>
      <c r="NA37" s="7"/>
      <c r="NB37" s="7"/>
      <c r="NC37" s="7"/>
      <c r="ND37" s="7"/>
      <c r="NE37" s="7"/>
      <c r="NF37" s="7"/>
      <c r="NG37" s="7"/>
      <c r="NH37" s="7"/>
      <c r="NI37" s="7"/>
      <c r="NJ37" s="7"/>
      <c r="NK37" s="7"/>
      <c r="NL37" s="7"/>
      <c r="NM37" s="7"/>
      <c r="NN37" s="7"/>
      <c r="NO37" s="7"/>
      <c r="NP37" s="7"/>
      <c r="NQ37" s="7"/>
      <c r="NR37" s="7"/>
      <c r="NS37" s="7"/>
      <c r="NT37" s="7"/>
      <c r="NU37" s="7"/>
      <c r="NV37" s="7"/>
      <c r="NW37" s="7"/>
      <c r="NX37" s="7"/>
      <c r="NY37" s="7"/>
      <c r="NZ37" s="7"/>
      <c r="OA37" s="7"/>
      <c r="OB37" s="7"/>
      <c r="OC37" s="7"/>
      <c r="OD37" s="7"/>
      <c r="OE37" s="7"/>
      <c r="OF37" s="7"/>
      <c r="OG37" s="7"/>
      <c r="OH37" s="7"/>
      <c r="OI37" s="7"/>
      <c r="OJ37" s="7"/>
      <c r="OK37" s="7"/>
      <c r="OL37" s="7"/>
      <c r="OM37" s="7"/>
      <c r="ON37" s="7"/>
      <c r="OO37" s="7"/>
      <c r="OP37" s="7"/>
      <c r="OQ37" s="7"/>
      <c r="OR37" s="7"/>
      <c r="OS37" s="7"/>
      <c r="OT37" s="7"/>
      <c r="OU37" s="7"/>
      <c r="OV37" s="7"/>
      <c r="OW37" s="7"/>
      <c r="OX37" s="7"/>
      <c r="OY37" s="7"/>
      <c r="OZ37" s="7"/>
      <c r="PA37" s="7"/>
      <c r="PB37" s="7"/>
      <c r="PC37" s="7"/>
      <c r="PD37" s="7"/>
      <c r="PE37" s="7"/>
      <c r="PF37" s="7"/>
      <c r="PG37" s="7"/>
      <c r="PH37" s="7"/>
      <c r="PI37" s="7"/>
      <c r="PJ37" s="7"/>
      <c r="PK37" s="7"/>
      <c r="PL37" s="7"/>
      <c r="PM37" s="7"/>
      <c r="PN37" s="7"/>
      <c r="PO37" s="7"/>
      <c r="PP37" s="7"/>
      <c r="PQ37" s="7"/>
      <c r="PR37" s="7"/>
      <c r="PS37" s="7"/>
      <c r="PT37" s="7"/>
      <c r="PU37" s="7"/>
      <c r="PV37" s="7"/>
      <c r="PW37" s="7"/>
      <c r="PX37" s="7"/>
      <c r="PY37" s="7"/>
      <c r="PZ37" s="7"/>
      <c r="QA37" s="7"/>
      <c r="QB37" s="7"/>
      <c r="QC37" s="7"/>
      <c r="QD37" s="7"/>
      <c r="QE37" s="7"/>
      <c r="QF37" s="7"/>
      <c r="QG37" s="7"/>
      <c r="QH37" s="7"/>
      <c r="QI37" s="7"/>
      <c r="QJ37" s="7"/>
      <c r="QK37" s="7"/>
      <c r="QL37" s="7"/>
      <c r="QM37" s="7"/>
      <c r="QN37" s="7"/>
      <c r="QO37" s="7"/>
      <c r="QP37" s="7"/>
      <c r="QQ37" s="7"/>
      <c r="QR37" s="7"/>
      <c r="QS37" s="7"/>
      <c r="QT37" s="7"/>
      <c r="QU37" s="7"/>
      <c r="QV37" s="7"/>
      <c r="QW37" s="7"/>
      <c r="QX37" s="7"/>
      <c r="QY37" s="7"/>
      <c r="QZ37" s="7"/>
      <c r="RA37" s="7"/>
      <c r="RB37" s="7"/>
      <c r="RC37" s="7"/>
      <c r="RD37" s="7"/>
      <c r="RE37" s="7"/>
      <c r="RF37" s="7"/>
      <c r="RG37" s="7"/>
      <c r="RH37" s="7"/>
      <c r="RI37" s="7"/>
      <c r="RJ37" s="7"/>
      <c r="RK37" s="7"/>
      <c r="RL37" s="7"/>
      <c r="RM37" s="7"/>
      <c r="RN37" s="7"/>
      <c r="RO37" s="7"/>
      <c r="RP37" s="7"/>
      <c r="RQ37" s="7"/>
      <c r="RR37" s="7"/>
      <c r="RS37" s="7"/>
      <c r="RT37" s="7"/>
      <c r="RU37" s="7"/>
      <c r="RV37" s="7"/>
      <c r="RW37" s="7"/>
      <c r="RX37" s="7"/>
      <c r="RY37" s="7"/>
      <c r="RZ37" s="7"/>
      <c r="SA37" s="7"/>
      <c r="SB37" s="7"/>
      <c r="SC37" s="7"/>
      <c r="SD37" s="7"/>
      <c r="SE37" s="7"/>
      <c r="SF37" s="7"/>
      <c r="SG37" s="7"/>
      <c r="SH37" s="7"/>
      <c r="SI37" s="7"/>
      <c r="SJ37" s="7"/>
      <c r="SK37" s="7"/>
      <c r="SL37" s="7"/>
      <c r="SM37" s="7"/>
      <c r="SN37" s="7"/>
      <c r="SO37" s="7"/>
      <c r="SP37" s="7"/>
      <c r="SQ37" s="7"/>
      <c r="SR37" s="7"/>
      <c r="SS37" s="7"/>
      <c r="ST37" s="7"/>
      <c r="SU37" s="7"/>
      <c r="SV37" s="7"/>
      <c r="SW37" s="7"/>
      <c r="SX37" s="7"/>
      <c r="SY37" s="7"/>
      <c r="SZ37" s="7"/>
      <c r="TA37" s="7"/>
      <c r="TB37" s="7"/>
      <c r="TC37" s="7"/>
      <c r="TD37" s="7"/>
      <c r="TE37" s="7"/>
      <c r="TF37" s="7"/>
      <c r="TG37" s="7"/>
      <c r="TH37" s="7"/>
      <c r="TI37" s="7"/>
      <c r="TJ37" s="7"/>
      <c r="TK37" s="7"/>
      <c r="TL37" s="7"/>
      <c r="TM37" s="7"/>
      <c r="TN37" s="7"/>
      <c r="TO37" s="7"/>
      <c r="TP37" s="7"/>
      <c r="TQ37" s="7"/>
      <c r="TR37" s="7"/>
      <c r="TS37" s="7"/>
      <c r="TT37" s="7"/>
      <c r="TU37" s="7"/>
      <c r="TV37" s="7"/>
      <c r="TW37" s="7"/>
      <c r="TX37" s="7"/>
      <c r="TY37" s="7"/>
      <c r="TZ37" s="7"/>
      <c r="UA37" s="7"/>
      <c r="UB37" s="7"/>
      <c r="UC37" s="7"/>
      <c r="UD37" s="7"/>
      <c r="UE37" s="7"/>
      <c r="UF37" s="7"/>
      <c r="UG37" s="7"/>
      <c r="UH37" s="7"/>
      <c r="UI37" s="7"/>
      <c r="UJ37" s="7"/>
      <c r="UK37" s="7"/>
      <c r="UL37" s="7"/>
      <c r="UM37" s="7"/>
      <c r="UN37" s="7"/>
      <c r="UO37" s="7"/>
      <c r="UP37" s="7"/>
      <c r="UQ37" s="7"/>
      <c r="UR37" s="7"/>
      <c r="US37" s="7"/>
      <c r="UT37" s="7"/>
      <c r="UU37" s="7"/>
      <c r="UV37" s="7"/>
      <c r="UW37" s="7"/>
      <c r="UX37" s="7"/>
      <c r="UY37" s="7"/>
      <c r="UZ37" s="7"/>
      <c r="VA37" s="7"/>
      <c r="VB37" s="7"/>
      <c r="VC37" s="7"/>
      <c r="VD37" s="7"/>
      <c r="VE37" s="7"/>
      <c r="VF37" s="7"/>
      <c r="VG37" s="7"/>
      <c r="VH37" s="7"/>
      <c r="VI37" s="7"/>
      <c r="VJ37" s="7"/>
      <c r="VK37" s="7"/>
      <c r="VL37" s="7"/>
      <c r="VM37" s="7"/>
      <c r="VN37" s="7"/>
      <c r="VO37" s="7"/>
      <c r="VP37" s="7"/>
      <c r="VQ37" s="7"/>
      <c r="VR37" s="7"/>
      <c r="VS37" s="7"/>
      <c r="VT37" s="7"/>
      <c r="VU37" s="7"/>
      <c r="VV37" s="7"/>
      <c r="VW37" s="7"/>
      <c r="VX37" s="7"/>
      <c r="VY37" s="7"/>
      <c r="VZ37" s="7"/>
      <c r="WA37" s="7"/>
      <c r="WB37" s="7"/>
      <c r="WC37" s="7"/>
      <c r="WD37" s="7"/>
      <c r="WE37" s="7"/>
      <c r="WF37" s="7"/>
      <c r="WG37" s="7"/>
      <c r="WH37" s="7"/>
      <c r="WI37" s="7"/>
      <c r="WJ37" s="7"/>
      <c r="WK37" s="7"/>
      <c r="WL37" s="7"/>
      <c r="WM37" s="7"/>
      <c r="WN37" s="7"/>
      <c r="WO37" s="7"/>
      <c r="WP37" s="7"/>
      <c r="WQ37" s="7"/>
      <c r="WR37" s="7"/>
      <c r="WS37" s="7"/>
      <c r="WT37" s="7"/>
      <c r="WU37" s="7"/>
      <c r="WV37" s="7"/>
      <c r="WW37" s="7"/>
      <c r="WX37" s="7"/>
      <c r="WY37" s="7"/>
      <c r="WZ37" s="7"/>
      <c r="XA37" s="7"/>
      <c r="XB37" s="7"/>
      <c r="XC37" s="7"/>
      <c r="XD37" s="7"/>
      <c r="XE37" s="7"/>
      <c r="XF37" s="7"/>
      <c r="XG37" s="7"/>
      <c r="XH37" s="7"/>
      <c r="XI37" s="7"/>
      <c r="XJ37" s="7"/>
      <c r="XK37" s="7"/>
      <c r="XL37" s="7"/>
      <c r="XM37" s="7"/>
      <c r="XN37" s="7"/>
      <c r="XO37" s="7"/>
      <c r="XP37" s="7"/>
      <c r="XQ37" s="7"/>
      <c r="XR37" s="7"/>
      <c r="XS37" s="7"/>
      <c r="XT37" s="7"/>
      <c r="XU37" s="7"/>
      <c r="XV37" s="7"/>
      <c r="XW37" s="7"/>
      <c r="XX37" s="7"/>
      <c r="XY37" s="7"/>
      <c r="XZ37" s="7"/>
      <c r="YA37" s="7"/>
      <c r="YB37" s="7"/>
      <c r="YC37" s="7"/>
      <c r="YD37" s="7"/>
      <c r="YE37" s="7"/>
      <c r="YF37" s="7"/>
      <c r="YG37" s="7"/>
      <c r="YH37" s="7"/>
      <c r="YI37" s="7"/>
      <c r="YJ37" s="7"/>
      <c r="YK37" s="7"/>
      <c r="YL37" s="7"/>
      <c r="YM37" s="7"/>
      <c r="YN37" s="7"/>
      <c r="YO37" s="7"/>
      <c r="YP37" s="7"/>
      <c r="YQ37" s="7"/>
      <c r="YR37" s="7"/>
      <c r="YS37" s="7"/>
      <c r="YT37" s="7"/>
      <c r="YU37" s="7"/>
      <c r="YV37" s="7"/>
      <c r="YW37" s="7"/>
      <c r="YX37" s="7"/>
      <c r="YY37" s="7"/>
      <c r="YZ37" s="7"/>
      <c r="ZA37" s="7"/>
      <c r="ZB37" s="7"/>
      <c r="ZC37" s="7"/>
      <c r="ZD37" s="7"/>
      <c r="ZE37" s="7"/>
      <c r="ZF37" s="7"/>
      <c r="ZG37" s="7"/>
      <c r="ZH37" s="7"/>
      <c r="ZI37" s="7"/>
      <c r="ZJ37" s="7"/>
      <c r="ZK37" s="7"/>
      <c r="ZL37" s="7"/>
      <c r="ZM37" s="7"/>
      <c r="ZN37" s="7"/>
      <c r="ZO37" s="7"/>
      <c r="ZP37" s="7"/>
      <c r="ZQ37" s="7"/>
      <c r="ZR37" s="7"/>
      <c r="ZS37" s="7"/>
      <c r="ZT37" s="7"/>
      <c r="ZU37" s="7"/>
      <c r="ZV37" s="7"/>
      <c r="ZW37" s="7"/>
      <c r="ZX37" s="7"/>
      <c r="ZY37" s="7"/>
      <c r="ZZ37" s="7"/>
      <c r="AAA37" s="7"/>
      <c r="AAB37" s="7"/>
      <c r="AAC37" s="7"/>
      <c r="AAD37" s="7"/>
      <c r="AAE37" s="7"/>
      <c r="AAF37" s="7"/>
      <c r="AAG37" s="7"/>
      <c r="AAH37" s="7"/>
      <c r="AAI37" s="7"/>
      <c r="AAJ37" s="7"/>
      <c r="AAK37" s="7"/>
      <c r="AAL37" s="7"/>
      <c r="AAM37" s="7"/>
      <c r="AAN37" s="7"/>
      <c r="AAO37" s="7"/>
      <c r="AAP37" s="7"/>
      <c r="AAQ37" s="7"/>
      <c r="AAR37" s="7"/>
      <c r="AAS37" s="7"/>
      <c r="AAT37" s="7"/>
      <c r="AAU37" s="7"/>
      <c r="AAV37" s="7"/>
      <c r="AAW37" s="7"/>
      <c r="AAX37" s="7"/>
      <c r="AAY37" s="7"/>
      <c r="AAZ37" s="7"/>
      <c r="ABA37" s="7"/>
      <c r="ABB37" s="7"/>
      <c r="ABC37" s="7"/>
      <c r="ABD37" s="7"/>
      <c r="ABE37" s="7"/>
      <c r="ABF37" s="7"/>
      <c r="ABG37" s="7"/>
      <c r="ABH37" s="7"/>
      <c r="ABI37" s="7"/>
      <c r="ABJ37" s="7"/>
      <c r="ABK37" s="7"/>
      <c r="ABL37" s="7"/>
      <c r="ABM37" s="7"/>
      <c r="ABN37" s="7"/>
      <c r="ABO37" s="7"/>
      <c r="ABP37" s="7"/>
      <c r="ABQ37" s="7"/>
      <c r="ABR37" s="7"/>
      <c r="ABS37" s="7"/>
      <c r="ABT37" s="7"/>
      <c r="ABU37" s="7"/>
      <c r="ABV37" s="7"/>
      <c r="ABW37" s="7"/>
      <c r="ABX37" s="7"/>
      <c r="ABY37" s="7"/>
      <c r="ABZ37" s="7"/>
      <c r="ACA37" s="7"/>
      <c r="ACB37" s="7"/>
      <c r="ACC37" s="7"/>
      <c r="ACD37" s="7"/>
      <c r="ACE37" s="7"/>
      <c r="ACF37" s="7"/>
      <c r="ACG37" s="7"/>
      <c r="ACH37" s="7"/>
      <c r="ACI37" s="7"/>
      <c r="ACJ37" s="7"/>
      <c r="ACK37" s="7"/>
      <c r="ACL37" s="7"/>
      <c r="ACM37" s="7"/>
      <c r="ACN37" s="7"/>
      <c r="ACO37" s="7"/>
      <c r="ACP37" s="7"/>
      <c r="ACQ37" s="7"/>
      <c r="ACR37" s="7"/>
      <c r="ACS37" s="7"/>
      <c r="ACT37" s="7"/>
      <c r="ACU37" s="7"/>
      <c r="ACV37" s="7"/>
      <c r="ACW37" s="7"/>
      <c r="ACX37" s="7"/>
      <c r="ACY37" s="7"/>
      <c r="ACZ37" s="7"/>
      <c r="ADA37" s="7"/>
      <c r="ADB37" s="7"/>
      <c r="ADC37" s="7"/>
      <c r="ADD37" s="7"/>
      <c r="ADE37" s="7"/>
      <c r="ADF37" s="7"/>
      <c r="ADG37" s="7"/>
      <c r="ADH37" s="7"/>
      <c r="ADI37" s="7"/>
      <c r="ADJ37" s="7"/>
      <c r="ADK37" s="7"/>
      <c r="ADL37" s="7"/>
      <c r="ADM37" s="7"/>
      <c r="ADN37" s="7"/>
      <c r="ADO37" s="7"/>
      <c r="ADP37" s="7"/>
      <c r="ADQ37" s="7"/>
      <c r="ADR37" s="7"/>
      <c r="ADS37" s="7"/>
      <c r="ADT37" s="7"/>
      <c r="ADU37" s="7"/>
      <c r="ADV37" s="7"/>
      <c r="ADW37" s="7"/>
      <c r="ADX37" s="7"/>
      <c r="ADY37" s="7"/>
      <c r="ADZ37" s="7"/>
      <c r="AEA37" s="7"/>
      <c r="AEB37" s="7"/>
      <c r="AEC37" s="7"/>
      <c r="AED37" s="7"/>
      <c r="AEE37" s="7"/>
      <c r="AEF37" s="7"/>
      <c r="AEG37" s="7"/>
      <c r="AEH37" s="7"/>
      <c r="AEI37" s="7"/>
      <c r="AEJ37" s="7"/>
      <c r="AEK37" s="7"/>
      <c r="AEL37" s="7"/>
      <c r="AEM37" s="7"/>
      <c r="AEN37" s="7"/>
      <c r="AEO37" s="7"/>
      <c r="AEP37" s="7"/>
      <c r="AEQ37" s="7"/>
      <c r="AER37" s="7"/>
      <c r="AES37" s="7"/>
      <c r="AET37" s="7"/>
      <c r="AEU37" s="7"/>
      <c r="AEV37" s="7"/>
      <c r="AEW37" s="7"/>
      <c r="AEX37" s="7"/>
      <c r="AEY37" s="7"/>
      <c r="AEZ37" s="7"/>
      <c r="AFA37" s="7"/>
      <c r="AFB37" s="7"/>
      <c r="AFC37" s="7"/>
      <c r="AFD37" s="7"/>
      <c r="AFE37" s="7"/>
      <c r="AFF37" s="7"/>
      <c r="AFG37" s="7"/>
      <c r="AFH37" s="7"/>
      <c r="AFI37" s="7"/>
      <c r="AFJ37" s="7"/>
      <c r="AFK37" s="7"/>
      <c r="AFL37" s="7"/>
      <c r="AFM37" s="7"/>
      <c r="AFN37" s="7"/>
      <c r="AFO37" s="7"/>
      <c r="AFP37" s="7"/>
      <c r="AFQ37" s="7"/>
      <c r="AFR37" s="7"/>
      <c r="AFS37" s="7"/>
      <c r="AFT37" s="7"/>
      <c r="AFU37" s="7"/>
      <c r="AFV37" s="7"/>
      <c r="AFW37" s="7"/>
      <c r="AFX37" s="7"/>
      <c r="AFY37" s="7"/>
      <c r="AFZ37" s="7"/>
      <c r="AGA37" s="7"/>
      <c r="AGB37" s="7"/>
      <c r="AGC37" s="7"/>
      <c r="AGD37" s="7"/>
      <c r="AGE37" s="7"/>
      <c r="AGF37" s="7"/>
      <c r="AGG37" s="7"/>
      <c r="AGH37" s="7"/>
      <c r="AGI37" s="7"/>
      <c r="AGJ37" s="7"/>
      <c r="AGK37" s="7"/>
      <c r="AGL37" s="7"/>
      <c r="AGM37" s="7"/>
      <c r="AGN37" s="7"/>
      <c r="AGO37" s="7"/>
      <c r="AGP37" s="7"/>
      <c r="AGQ37" s="7"/>
      <c r="AGR37" s="7"/>
      <c r="AGS37" s="7"/>
      <c r="AGT37" s="7"/>
      <c r="AGU37" s="7"/>
      <c r="AGV37" s="7"/>
      <c r="AGW37" s="7"/>
      <c r="AGX37" s="7"/>
      <c r="AGY37" s="7"/>
      <c r="AGZ37" s="7"/>
      <c r="AHA37" s="7"/>
      <c r="AHB37" s="7"/>
      <c r="AHC37" s="7"/>
      <c r="AHD37" s="7"/>
      <c r="AHE37" s="7"/>
      <c r="AHF37" s="7"/>
      <c r="AHG37" s="7"/>
      <c r="AHH37" s="7"/>
      <c r="AHI37" s="7"/>
      <c r="AHJ37" s="7"/>
      <c r="AHK37" s="7"/>
      <c r="AHL37" s="7"/>
      <c r="AHM37" s="7"/>
      <c r="AHN37" s="7"/>
      <c r="AHO37" s="7"/>
      <c r="AHP37" s="7"/>
      <c r="AHQ37" s="7"/>
      <c r="AHR37" s="7"/>
      <c r="AHS37" s="7"/>
      <c r="AHT37" s="7"/>
      <c r="AHU37" s="7"/>
      <c r="AHV37" s="7"/>
      <c r="AHW37" s="7"/>
      <c r="AHX37" s="7"/>
      <c r="AHY37" s="7"/>
      <c r="AHZ37" s="7"/>
      <c r="AIA37" s="7"/>
      <c r="AIB37" s="7"/>
      <c r="AIC37" s="7"/>
      <c r="AID37" s="7"/>
      <c r="AIE37" s="7"/>
      <c r="AIF37" s="7"/>
      <c r="AIG37" s="7"/>
      <c r="AIH37" s="7"/>
      <c r="AII37" s="7"/>
      <c r="AIJ37" s="7"/>
      <c r="AIK37" s="7"/>
      <c r="AIL37" s="7"/>
      <c r="AIM37" s="7"/>
      <c r="AIN37" s="7"/>
      <c r="AIO37" s="7"/>
      <c r="AIP37" s="7"/>
      <c r="AIQ37" s="7"/>
      <c r="AIR37" s="7"/>
      <c r="AIS37" s="7"/>
      <c r="AIT37" s="7"/>
      <c r="AIU37" s="7"/>
      <c r="AIV37" s="7"/>
      <c r="AIW37" s="7"/>
      <c r="AIX37" s="7"/>
      <c r="AIY37" s="7"/>
      <c r="AIZ37" s="7"/>
      <c r="AJA37" s="7"/>
      <c r="AJB37" s="7"/>
      <c r="AJC37" s="7"/>
      <c r="AJD37" s="7"/>
      <c r="AJE37" s="7"/>
      <c r="AJF37" s="7"/>
      <c r="AJG37" s="7"/>
      <c r="AJH37" s="7"/>
      <c r="AJI37" s="7"/>
      <c r="AJJ37" s="7"/>
      <c r="AJK37" s="7"/>
      <c r="AJL37" s="7"/>
      <c r="AJM37" s="7"/>
      <c r="AJN37" s="7"/>
      <c r="AJO37" s="7"/>
      <c r="AJP37" s="7"/>
      <c r="AJQ37" s="7"/>
      <c r="AJR37" s="7"/>
      <c r="AJS37" s="7"/>
      <c r="AJT37" s="7"/>
      <c r="AJU37" s="7"/>
      <c r="AJV37" s="7"/>
      <c r="AJW37" s="7"/>
      <c r="AJX37" s="7"/>
      <c r="AJY37" s="7"/>
      <c r="AJZ37" s="7"/>
      <c r="AKA37" s="7"/>
      <c r="AKB37" s="7"/>
      <c r="AKC37" s="7"/>
      <c r="AKD37" s="7"/>
      <c r="AKE37" s="7"/>
      <c r="AKF37" s="7"/>
      <c r="AKG37" s="7"/>
      <c r="AKH37" s="7"/>
      <c r="AKI37" s="7"/>
      <c r="AKJ37" s="7"/>
      <c r="AKK37" s="7"/>
      <c r="AKL37" s="7"/>
      <c r="AKM37" s="7"/>
      <c r="AKN37" s="7"/>
      <c r="AKO37" s="7"/>
      <c r="AKP37" s="7"/>
      <c r="AKQ37" s="7"/>
      <c r="AKR37" s="7"/>
      <c r="AKS37" s="7"/>
      <c r="AKT37" s="7"/>
      <c r="AKU37" s="7"/>
      <c r="AKV37" s="7"/>
      <c r="AKW37" s="7"/>
      <c r="AKX37" s="7"/>
      <c r="AKY37" s="7"/>
      <c r="AKZ37" s="7"/>
      <c r="ALA37" s="7"/>
      <c r="ALB37" s="7"/>
      <c r="ALC37" s="7"/>
      <c r="ALD37" s="7"/>
      <c r="ALE37" s="7"/>
      <c r="ALF37" s="7"/>
      <c r="ALG37" s="7"/>
      <c r="ALH37" s="7"/>
      <c r="ALI37" s="7"/>
      <c r="ALJ37" s="7"/>
      <c r="ALK37" s="7"/>
      <c r="ALL37" s="7"/>
      <c r="ALM37" s="7"/>
      <c r="ALN37" s="7"/>
      <c r="ALO37" s="7"/>
      <c r="ALP37" s="7"/>
      <c r="ALQ37" s="7"/>
      <c r="ALR37" s="7"/>
      <c r="ALS37" s="7"/>
      <c r="ALT37" s="7"/>
      <c r="ALU37" s="7"/>
      <c r="ALV37" s="7"/>
      <c r="ALW37" s="7"/>
      <c r="ALX37" s="7"/>
      <c r="ALY37" s="7"/>
      <c r="ALZ37" s="7"/>
      <c r="AMA37" s="7"/>
      <c r="AMB37" s="7"/>
      <c r="AMC37" s="7"/>
      <c r="AMD37" s="7"/>
      <c r="AME37" s="7"/>
      <c r="AMF37" s="7"/>
      <c r="AMG37" s="7"/>
      <c r="AMH37" s="7"/>
      <c r="AMI37" s="7"/>
      <c r="AMJ37" s="7"/>
      <c r="AMK37" s="7"/>
    </row>
    <row r="38" spans="1:1025" ht="80.25" customHeight="1"/>
  </sheetData>
  <sheetProtection insertHyperlinks="0"/>
  <protectedRanges>
    <protectedRange sqref="B37 D20 D8:D9 D4:J7 D14:J16" name="Intervalo1"/>
    <protectedRange sqref="B31" name="Intervalo1_1"/>
    <protectedRange sqref="B33" name="Intervalo1_2"/>
    <protectedRange sqref="B35" name="Intervalo1_3"/>
  </protectedRanges>
  <mergeCells count="55">
    <mergeCell ref="D8:G8"/>
    <mergeCell ref="B3:J3"/>
    <mergeCell ref="I8:J8"/>
    <mergeCell ref="B8:C8"/>
    <mergeCell ref="D7:J7"/>
    <mergeCell ref="B7:C7"/>
    <mergeCell ref="B1:J1"/>
    <mergeCell ref="B2:J2"/>
    <mergeCell ref="B5:C5"/>
    <mergeCell ref="D5:J5"/>
    <mergeCell ref="B6:C6"/>
    <mergeCell ref="B4:C4"/>
    <mergeCell ref="D4:J4"/>
    <mergeCell ref="D6:J6"/>
    <mergeCell ref="B9:C9"/>
    <mergeCell ref="D9:J9"/>
    <mergeCell ref="B11:C11"/>
    <mergeCell ref="G11:H11"/>
    <mergeCell ref="I11:J11"/>
    <mergeCell ref="D11:F11"/>
    <mergeCell ref="B10:C10"/>
    <mergeCell ref="D10:J10"/>
    <mergeCell ref="B12:C12"/>
    <mergeCell ref="D12:J12"/>
    <mergeCell ref="B13:J13"/>
    <mergeCell ref="B14:C14"/>
    <mergeCell ref="D14:J14"/>
    <mergeCell ref="B15:C15"/>
    <mergeCell ref="D15:J15"/>
    <mergeCell ref="B16:C16"/>
    <mergeCell ref="B17:C17"/>
    <mergeCell ref="D16:J16"/>
    <mergeCell ref="I17:J17"/>
    <mergeCell ref="G17:H17"/>
    <mergeCell ref="D17:F17"/>
    <mergeCell ref="B18:C18"/>
    <mergeCell ref="D18:J18"/>
    <mergeCell ref="B19:J19"/>
    <mergeCell ref="B20:C20"/>
    <mergeCell ref="D20:J20"/>
    <mergeCell ref="B21:C21"/>
    <mergeCell ref="B25:C25"/>
    <mergeCell ref="D25:J25"/>
    <mergeCell ref="B26:J26"/>
    <mergeCell ref="B27:J27"/>
    <mergeCell ref="B37:J37"/>
    <mergeCell ref="B34:J34"/>
    <mergeCell ref="B36:J36"/>
    <mergeCell ref="B28:J28"/>
    <mergeCell ref="B29:J29"/>
    <mergeCell ref="B31:J31"/>
    <mergeCell ref="B33:J33"/>
    <mergeCell ref="B35:J35"/>
    <mergeCell ref="B30:J30"/>
    <mergeCell ref="B32:J32"/>
  </mergeCells>
  <dataValidations disablePrompts="1" count="2">
    <dataValidation type="list" allowBlank="1" showInputMessage="1" showErrorMessage="1" sqref="D20:J20" xr:uid="{00000000-0002-0000-0000-000000000000}">
      <formula1>"Comparação PF Bruto,Comparação PF Liquído"</formula1>
      <formula2>0</formula2>
    </dataValidation>
    <dataValidation type="list" allowBlank="1" showInputMessage="1" showErrorMessage="1" sqref="D8" xr:uid="{04CC7C97-C322-4B47-A276-ECAB699E7DB0}">
      <formula1>TipoDeContagem</formula1>
    </dataValidation>
  </dataValidations>
  <pageMargins left="0.51180555555555496" right="0.51180555555555496" top="1.0416666666666701" bottom="0.78749999999999998" header="0.51180555555555496" footer="0.31527777777777799"/>
  <pageSetup paperSize="9" firstPageNumber="0" orientation="portrait" horizontalDpi="300" verticalDpi="300" r:id="rId1"/>
  <headerFooter>
    <oddHeader>&amp;L&amp;"Aptos"&amp;10&amp;K0000FF Classificação: RESTRITA&amp;1#_x000D_</oddHeader>
    <oddFooter>&amp;LVersão 6.2</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R456"/>
  <sheetViews>
    <sheetView showGridLines="0" zoomScaleNormal="100" workbookViewId="0">
      <pane xSplit="1" ySplit="3" topLeftCell="I43" activePane="bottomRight" state="frozen"/>
      <selection pane="topRight" activeCell="B1" sqref="B1"/>
      <selection pane="bottomLeft" activeCell="A4" sqref="A4"/>
      <selection pane="bottomRight" activeCell="U7" sqref="U7"/>
    </sheetView>
  </sheetViews>
  <sheetFormatPr defaultColWidth="1.44140625" defaultRowHeight="14.4"/>
  <cols>
    <col min="1" max="1" width="65.5546875" style="69" bestFit="1" customWidth="1"/>
    <col min="2" max="2" width="4.5546875" style="102" bestFit="1" customWidth="1"/>
    <col min="3" max="3" width="6.6640625" style="70" bestFit="1" customWidth="1"/>
    <col min="4" max="4" width="4.6640625" style="70" bestFit="1" customWidth="1"/>
    <col min="5" max="5" width="11.109375" style="71" bestFit="1" customWidth="1"/>
    <col min="6" max="6" width="6.44140625" style="70" customWidth="1"/>
    <col min="7" max="7" width="13.88671875" style="69" bestFit="1" customWidth="1"/>
    <col min="8" max="8" width="3.88671875" style="70" bestFit="1" customWidth="1"/>
    <col min="9" max="9" width="10.6640625" style="71" bestFit="1" customWidth="1"/>
    <col min="10" max="10" width="6.33203125" style="72" hidden="1" customWidth="1"/>
    <col min="11" max="11" width="10.5546875" style="72" hidden="1" customWidth="1"/>
    <col min="12" max="12" width="3.33203125" style="72" hidden="1" customWidth="1"/>
    <col min="13" max="13" width="4.5546875" style="72" hidden="1" customWidth="1"/>
    <col min="14" max="14" width="2.6640625" style="72" hidden="1" customWidth="1"/>
    <col min="15" max="15" width="7.5546875" style="70" bestFit="1" customWidth="1"/>
    <col min="16" max="16" width="11.5546875" style="70" customWidth="1"/>
    <col min="17" max="17" width="12.44140625" style="70" customWidth="1"/>
    <col min="18" max="18" width="3.5546875" style="73" customWidth="1"/>
    <col min="19" max="19" width="30.109375" style="73" customWidth="1"/>
    <col min="20" max="20" width="1.44140625" style="91" bestFit="1" customWidth="1"/>
    <col min="21" max="21" width="7.5546875" style="92" bestFit="1" customWidth="1"/>
    <col min="22" max="22" width="3.88671875" style="93" bestFit="1" customWidth="1"/>
    <col min="23" max="23" width="6.6640625" style="93" bestFit="1" customWidth="1"/>
    <col min="24" max="24" width="4.44140625" style="93" bestFit="1" customWidth="1"/>
    <col min="25" max="25" width="11.109375" style="93" bestFit="1" customWidth="1"/>
    <col min="26" max="26" width="5.33203125" style="93" bestFit="1" customWidth="1"/>
    <col min="27" max="27" width="13.88671875" style="93" bestFit="1" customWidth="1"/>
    <col min="28" max="28" width="3.88671875" style="76" bestFit="1" customWidth="1"/>
    <col min="29" max="29" width="5" style="94" hidden="1" customWidth="1"/>
    <col min="30" max="30" width="11" style="94" hidden="1" customWidth="1"/>
    <col min="31" max="31" width="3.33203125" style="94" hidden="1" customWidth="1"/>
    <col min="32" max="32" width="3.6640625" style="94" hidden="1" customWidth="1"/>
    <col min="33" max="33" width="2.6640625" style="94" hidden="1" customWidth="1"/>
    <col min="34" max="34" width="7.5546875" style="95" bestFit="1" customWidth="1"/>
    <col min="35" max="36" width="10.109375" style="95" customWidth="1"/>
    <col min="37" max="37" width="27" style="93" customWidth="1"/>
    <col min="38" max="38" width="1.44140625" style="96" customWidth="1"/>
    <col min="39" max="39" width="31.5546875" style="73" customWidth="1"/>
    <col min="40" max="40" width="1.44140625" style="96" customWidth="1"/>
    <col min="41" max="41" width="44.6640625" style="93" customWidth="1"/>
    <col min="42" max="42" width="1.44140625" style="96" customWidth="1"/>
    <col min="43" max="43" width="34" style="73" customWidth="1"/>
    <col min="44" max="44" width="1.44140625" style="96" customWidth="1"/>
    <col min="45" max="16384" width="1.44140625" style="76"/>
  </cols>
  <sheetData>
    <row r="1" spans="1:44" ht="30.75" customHeight="1">
      <c r="A1" s="161" t="s">
        <v>162</v>
      </c>
      <c r="B1" s="161"/>
      <c r="C1" s="161"/>
      <c r="D1" s="161"/>
      <c r="E1" s="161"/>
      <c r="F1" s="161"/>
      <c r="G1" s="161"/>
      <c r="H1" s="161"/>
      <c r="I1" s="161"/>
      <c r="J1" s="161"/>
      <c r="K1" s="161"/>
      <c r="L1" s="161"/>
      <c r="M1" s="161"/>
      <c r="N1" s="161"/>
      <c r="O1" s="161"/>
      <c r="P1" s="161"/>
      <c r="Q1" s="161"/>
      <c r="R1" s="161"/>
      <c r="S1" s="162"/>
      <c r="T1" s="74"/>
      <c r="U1" s="185" t="s">
        <v>39</v>
      </c>
      <c r="V1" s="186"/>
      <c r="W1" s="186"/>
      <c r="X1" s="186"/>
      <c r="Y1" s="186"/>
      <c r="Z1" s="186"/>
      <c r="AA1" s="186"/>
      <c r="AB1" s="186"/>
      <c r="AC1" s="186"/>
      <c r="AD1" s="186"/>
      <c r="AE1" s="186"/>
      <c r="AF1" s="186"/>
      <c r="AG1" s="186"/>
      <c r="AH1" s="186"/>
      <c r="AI1" s="186"/>
      <c r="AJ1" s="186"/>
      <c r="AK1" s="168" t="s">
        <v>47</v>
      </c>
      <c r="AL1" s="75"/>
      <c r="AM1" s="175" t="s">
        <v>48</v>
      </c>
      <c r="AN1" s="75"/>
      <c r="AO1" s="168" t="s">
        <v>49</v>
      </c>
      <c r="AP1" s="75"/>
      <c r="AQ1" s="175" t="s">
        <v>50</v>
      </c>
      <c r="AR1" s="75"/>
    </row>
    <row r="2" spans="1:44" s="78" customFormat="1" ht="13.95" customHeight="1">
      <c r="A2" s="163" t="s">
        <v>161</v>
      </c>
      <c r="B2" s="167" t="s">
        <v>8</v>
      </c>
      <c r="C2" s="163" t="s">
        <v>158</v>
      </c>
      <c r="D2" s="163" t="s">
        <v>9</v>
      </c>
      <c r="E2" s="164" t="s">
        <v>10</v>
      </c>
      <c r="F2" s="163" t="s">
        <v>11</v>
      </c>
      <c r="G2" s="165" t="s">
        <v>12</v>
      </c>
      <c r="H2" s="163" t="s">
        <v>13</v>
      </c>
      <c r="I2" s="167" t="s">
        <v>14</v>
      </c>
      <c r="J2" s="165" t="s">
        <v>15</v>
      </c>
      <c r="K2" s="165" t="s">
        <v>16</v>
      </c>
      <c r="L2" s="165" t="s">
        <v>17</v>
      </c>
      <c r="M2" s="165" t="s">
        <v>18</v>
      </c>
      <c r="N2" s="170" t="s">
        <v>19</v>
      </c>
      <c r="O2" s="167" t="s">
        <v>151</v>
      </c>
      <c r="P2" s="174" t="s">
        <v>159</v>
      </c>
      <c r="Q2" s="174"/>
      <c r="R2" s="172" t="s">
        <v>20</v>
      </c>
      <c r="S2" s="173"/>
      <c r="T2" s="77"/>
      <c r="U2" s="168" t="s">
        <v>47</v>
      </c>
      <c r="V2" s="168" t="s">
        <v>8</v>
      </c>
      <c r="W2" s="168" t="s">
        <v>158</v>
      </c>
      <c r="X2" s="168" t="s">
        <v>9</v>
      </c>
      <c r="Y2" s="168" t="s">
        <v>10</v>
      </c>
      <c r="Z2" s="168" t="s">
        <v>11</v>
      </c>
      <c r="AA2" s="168" t="s">
        <v>12</v>
      </c>
      <c r="AB2" s="168" t="s">
        <v>13</v>
      </c>
      <c r="AC2" s="179" t="s">
        <v>15</v>
      </c>
      <c r="AD2" s="179" t="s">
        <v>16</v>
      </c>
      <c r="AE2" s="179" t="s">
        <v>17</v>
      </c>
      <c r="AF2" s="179" t="s">
        <v>18</v>
      </c>
      <c r="AG2" s="179" t="s">
        <v>19</v>
      </c>
      <c r="AH2" s="181" t="s">
        <v>151</v>
      </c>
      <c r="AI2" s="183" t="s">
        <v>159</v>
      </c>
      <c r="AJ2" s="184"/>
      <c r="AK2" s="178"/>
      <c r="AL2" s="98"/>
      <c r="AM2" s="176"/>
      <c r="AN2" s="77"/>
      <c r="AO2" s="178"/>
      <c r="AP2" s="77"/>
      <c r="AQ2" s="176"/>
      <c r="AR2" s="77"/>
    </row>
    <row r="3" spans="1:44" s="78" customFormat="1" ht="13.95" customHeight="1">
      <c r="A3" s="163"/>
      <c r="B3" s="167"/>
      <c r="C3" s="163"/>
      <c r="D3" s="163"/>
      <c r="E3" s="164"/>
      <c r="F3" s="163"/>
      <c r="G3" s="166"/>
      <c r="H3" s="163"/>
      <c r="I3" s="167"/>
      <c r="J3" s="166"/>
      <c r="K3" s="166"/>
      <c r="L3" s="166"/>
      <c r="M3" s="166"/>
      <c r="N3" s="171"/>
      <c r="O3" s="167"/>
      <c r="P3" s="53" t="str">
        <f>_xlfn.CONCAT(SUM(P4:P455)," PFB")</f>
        <v>173 PFB</v>
      </c>
      <c r="Q3" s="53" t="str">
        <f>_xlfn.CONCAT(SUM(Q4:Q455)," PFL")</f>
        <v>86,5 PFL</v>
      </c>
      <c r="R3" s="52" t="s">
        <v>46</v>
      </c>
      <c r="S3" s="51" t="s">
        <v>22</v>
      </c>
      <c r="T3" s="77"/>
      <c r="U3" s="169"/>
      <c r="V3" s="169"/>
      <c r="W3" s="169"/>
      <c r="X3" s="169"/>
      <c r="Y3" s="169"/>
      <c r="Z3" s="169"/>
      <c r="AA3" s="169"/>
      <c r="AB3" s="169"/>
      <c r="AC3" s="180"/>
      <c r="AD3" s="180"/>
      <c r="AE3" s="180"/>
      <c r="AF3" s="180"/>
      <c r="AG3" s="180"/>
      <c r="AH3" s="182"/>
      <c r="AI3" s="79" t="str">
        <f>_xlfn.CONCAT(SUM(AI4:AI455)," PFB")</f>
        <v>173 PFB</v>
      </c>
      <c r="AJ3" s="97" t="str">
        <f>_xlfn.CONCAT(SUM(AJ4:AJ455)," PFL")</f>
        <v>86,5 PFL</v>
      </c>
      <c r="AK3" s="169"/>
      <c r="AL3" s="98"/>
      <c r="AM3" s="177"/>
      <c r="AN3" s="77"/>
      <c r="AO3" s="169"/>
      <c r="AP3" s="77"/>
      <c r="AQ3" s="177"/>
      <c r="AR3" s="77"/>
    </row>
    <row r="4" spans="1:44" ht="18.75" customHeight="1">
      <c r="A4" s="105" t="s">
        <v>218</v>
      </c>
      <c r="B4" s="100"/>
      <c r="C4" s="55"/>
      <c r="D4" s="55"/>
      <c r="E4" s="56"/>
      <c r="F4" s="55"/>
      <c r="G4" s="56"/>
      <c r="H4" s="55"/>
      <c r="I4" s="56"/>
      <c r="J4" s="57" t="str">
        <f t="shared" ref="J4:J5" si="0">CONCATENATE(B4,L4)</f>
        <v/>
      </c>
      <c r="K4" s="57" t="str">
        <f t="shared" ref="K4:K5" si="1">CONCATENATE(B4,C4,L4,Q4)</f>
        <v/>
      </c>
      <c r="L4" s="57" t="str">
        <f xml:space="preserve">
IF(OR('Dados da OS'!$D$8=Parâmetros!$B$3,'Dados da OS'!$D$8=Parâmetros!$B$4),
  IF(OR(ISBLANK(D4),ISBLANK(F4)),
     IF(OR(B4="ALI",B4="AIE"),"L",IF(ISBLANK(B4),"","A")),
     IF(B4="EE",IF(F4&gt;=3,IF(D4&gt;=5,"H","A"),
     IF(F4&gt;=2,IF(D4&gt;=16,"H",IF(D4&lt;=4,"L","A")),IF(D4&lt;=15,"L","A"))),
     IF(OR(B4="SE",B4="CE"),IF(F4&gt;=4,IF(D4&gt;=6,"H","A"),IF(F4&gt;=2,IF(D4&gt;=20,"H",IF(D4&lt;=5,"L","A")),IF(D4&lt;=19,"L","A"))),
     IF(OR(B4="ALI",B4="AIE"),IF(F4&gt;=6,IF(D4&gt;=20,"H","A"),IF(F4&gt;=2,IF(D4&gt;=51,"H",IF(D4&lt;=19,"L","A")),IF(D4&lt;=50,"L","A"))))))),
IF('Dados da OS'!$D$8=Parâmetros!$B$6,"Indicativa",
IF('Dados da OS'!$D$8=Parâmetros!$B$5,"PFS","")))</f>
        <v/>
      </c>
      <c r="M4" s="57">
        <f>IFERROR(VLOOKUP(C4,'Fatores de Impacto e INMs'!$A$3:$D$32,3,0),1)</f>
        <v>1</v>
      </c>
      <c r="N4" s="57">
        <f>IFERROR(VLOOKUP(C4,'Fatores de Impacto e INMs'!$A$3:$E$32,5,0),1)</f>
        <v>1</v>
      </c>
      <c r="O4" s="58" t="str">
        <f xml:space="preserve">
IF(OR('Dados da OS'!$D$8="Selecione o tipo da contagem",ISBLANK('Dados da OS'!$D$8),B4="INM",B4="N/A",ISBLANK(B4),ISBLANK(C4),N4="VF"),"-",
   IF('Dados da OS'!$D$8=Parâmetros!$B$3,
      IF(OR(ISBLANK(D4),ISBLANK(F4)),"-",
         IF(L4="L","Baixa",IF(L4="A","Média",IF(L4="H","Alta","-")))),
      IF('Dados da OS'!$D$8=Parâmetros!$B$4,
         IF(OR(B4="ALI",B4="AIE"),"Baixa",IF(OR(B4="EE",B4="SE",B4="CE"),"Média","-")),
         IF(OR('Dados da OS'!$D$8=Parâmetros!$B$5,'Dados da OS'!$D$8=Parâmetros!$B$6),"-"))))</f>
        <v>-</v>
      </c>
      <c r="P4" s="59" t="str">
        <f xml:space="preserve">
IF(OR(ISBLANK(B4),ISBLANK(C4),B4="N/A",ISBLANK('Dados da OS'!$D$8)),"",
   IF(OR('Dados da OS'!$D$8=Parâmetros!$B$3,'Dados da OS'!$D$8=Parâmetros!$B$4),
      IF(OR(AND(B4="INM",N4&lt;&gt;"VF"),AND(N4="VF",B4&lt;&gt;"INM")),"",
        IF(AND(B4="INM",N4="VF"),IF(ISBLANK(H4),"",M4*H4),
        IF('Dados da OS'!$D$8=Parâmetros!$B$4,
           IF(OR(B4="CE",B4="EE"),4,IF(B4="SE",5,IF(B4="ALI",7,IF(B4="AIE",5,"")))),
        IF('Dados da OS'!$D$8=Parâmetros!$B$3,
           IF(OR(ISBLANK(D4),ISBLANK(F4)),"",
              IF(B4="ALI",IF(L4="L",7,IF(L4="A",10,15)),
                 IF(B4="AIE",IF(L4="L",5,IF(L4="A",7,10)),
                    IF(B4="SE",IF(L4="L",4,IF(L4="A",5,7)),
                       IF(OR(B4="EE",B4="CE"),IF(L4="L",3,IF(L4="A",4,6)),""))))))))),
   IF('Dados da OS'!$D$8=Parâmetros!$B$5,
      IF(OR(AND(B4="INM",N4&lt;&gt;"VF"),AND(N4="VF",B4&lt;&gt;"INM")),"",
         IF(B4="INM",IF(N4="VF",M4*H4,""),
            IF(B4="PE",4.6,
            IF(B4="AL",7,"")))),
   IF('Dados da OS'!$D$8=Parâmetros!$B$6,
      IF(B4="ALI",35,IF(B4="AIE",15,"")),""))
    )
)</f>
        <v/>
      </c>
      <c r="Q4" s="60" t="str">
        <f t="shared" ref="Q4" si="2">IF(P4="","",IF(B4="INM",P4,P4*M4))</f>
        <v/>
      </c>
      <c r="R4" s="61"/>
      <c r="S4" s="62"/>
      <c r="T4" s="80" t="s">
        <v>21</v>
      </c>
      <c r="U4" s="81"/>
      <c r="V4" s="99"/>
      <c r="W4" s="55"/>
      <c r="X4" s="55"/>
      <c r="Y4" s="56"/>
      <c r="Z4" s="55"/>
      <c r="AA4" s="56"/>
      <c r="AB4" s="55"/>
      <c r="AC4" s="57" t="str">
        <f t="shared" ref="AC4" si="3">CONCATENATE(V4,AE4)</f>
        <v/>
      </c>
      <c r="AD4" s="57" t="str">
        <f t="shared" ref="AD4" si="4">CONCATENATE(V4,W4,AE4,AJ4)</f>
        <v/>
      </c>
      <c r="AE4" s="57" t="str">
        <f xml:space="preserve">
IF(OR('Dados da OS'!$D$8=Parâmetros!$B$3,'Dados da OS'!$D$8=Parâmetros!$B$4),
  IF(OR(ISBLANK(X4),ISBLANK(Z4)),
     IF(OR(V4="ALI",V4="AIE"),"L",IF(ISBLANK(V4),"","A")),
     IF(V4="EE",IF(Z4&gt;=3,IF(X4&gt;=5,"H","A"),
     IF(Z4&gt;=2,IF(X4&gt;=16,"H",IF(X4&lt;=4,"L","A")),IF(X4&lt;=15,"L","A"))),
     IF(OR(V4="SE",V4="CE"),IF(Z4&gt;=4,IF(X4&gt;=6,"H","A"),IF(Z4&gt;=2,IF(X4&gt;=20,"H",IF(X4&lt;=5,"L","A")),IF(X4&lt;=19,"L","A"))),
     IF(OR(V4="ALI",V4="AIE"),IF(Z4&gt;=6,IF(X4&gt;=20,"H","A"),IF(Z4&gt;=2,IF(X4&gt;=51,"H",IF(X4&lt;=19,"L","A")),IF(X4&lt;=50,"L","A"))))))),
IF('Dados da OS'!$D$8=Parâmetros!$B$6,"Indicativa",
IF('Dados da OS'!$D$8=Parâmetros!$B$5,"PFS","")))</f>
        <v/>
      </c>
      <c r="AF4" s="57">
        <f>IFERROR(VLOOKUP(W4,'Fatores de Impacto e INMs'!$A$3:$D$32,3,0),1)</f>
        <v>1</v>
      </c>
      <c r="AG4" s="57">
        <f>IFERROR(VLOOKUP(W4,'Fatores de Impacto e INMs'!$A$3:$E$32,5,0),1)</f>
        <v>1</v>
      </c>
      <c r="AH4" s="82" t="str">
        <f xml:space="preserve">
IF(OR('Dados da OS'!$D$8="Selecione o tipo da contagem",ISBLANK('Dados da OS'!$D$8),V4="INM",V4="N/A",ISBLANK(V4),ISBLANK(W4),AG4="VF"),"-",
   IF('Dados da OS'!$D$8=Parâmetros!$B$3,
      IF(OR(ISBLANK(X4),ISBLANK(Z4)),"-",
         IF(AE4="L","Baixa",IF(AE4="A","Média",IF(AE4="H","Alta","-")))),
      IF('Dados da OS'!$D$8=Parâmetros!$B$4,
         IF(OR(V4="ALI",V4="AIE"),"Baixa",IF(OR(V4="EE",V4="SE",V4="CE"),"Média","-")),
         IF(OR('Dados da OS'!$D$8=Parâmetros!$B$5,'Dados da OS'!$D$8=Parâmetros!$B$6),"-"))))</f>
        <v>-</v>
      </c>
      <c r="AI4" s="83" t="str">
        <f xml:space="preserve">
IF(OR(ISBLANK(V4),ISBLANK(U4),ISBLANK(W4),V4="N/A",ISBLANK('Dados da OS'!$D$8)),"",
   IF(OR('Dados da OS'!$D$8=Parâmetros!$B$3,'Dados da OS'!$D$8=Parâmetros!$B$4),
      IF(OR(AND(V4="INM",AG4&lt;&gt;"VF"),AND(AG4="VF",V4&lt;&gt;"INM")),"",
        IF(AND(V4="INM",AG4="VF"),IF(ISBLANK(AB4),"",AF4*AB4),
        IF('Dados da OS'!$D$8=Parâmetros!$B$4,
           IF(OR(V4="CE",V4="EE"),4,IF(V4="SE",5,IF(V4="ALI",7,IF(V4="AIE",5,"")))),
        IF('Dados da OS'!$D$8=Parâmetros!$B$3,
           IF(OR(ISBLANK(X4),ISBLANK(Z4)),"",
              IF(V4="ALI",IF(AE4="L",7,IF(AE4="A",10,15)),
                 IF(V4="AIE",IF(AE4="L",5,IF(AE4="A",7,10)),
                    IF(V4="SE",IF(AE4="L",4,IF(AE4="A",5,7)),
                       IF(OR(V4="EE",V4="CE"),IF(AE4="L",3,IF(AE4="A",4,6)),""))))))))),
   IF('Dados da OS'!$D$8=Parâmetros!$B$5,
      IF(OR(AND(V4="INM",AG4&lt;&gt;"VF"),AND(AG4="VF",V4&lt;&gt;"INM")),"",
         IF(V4="INM",IF(AG4="VF",AF4*AB4,""),
            IF(V4="PE",4.6,
            IF(V4="AL",7,"")))),
   IF('Dados da OS'!$D$8=Parâmetros!$B$6,
      IF(V4="ALI",35,IF(V4="AIE",15,"")),""))
    )
)</f>
        <v/>
      </c>
      <c r="AJ4" s="82" t="str">
        <f>IF(AI4="","",IF(V4="INM",AI4,AI4*AF4))</f>
        <v/>
      </c>
      <c r="AK4" s="84"/>
      <c r="AL4" s="85" t="s">
        <v>21</v>
      </c>
      <c r="AM4" s="86"/>
      <c r="AN4" s="85"/>
      <c r="AO4" s="87"/>
      <c r="AP4" s="85"/>
      <c r="AQ4" s="86"/>
      <c r="AR4" s="85"/>
    </row>
    <row r="5" spans="1:44" ht="18.75" customHeight="1">
      <c r="A5" s="54" t="s">
        <v>219</v>
      </c>
      <c r="B5" s="100" t="s">
        <v>121</v>
      </c>
      <c r="C5" s="55" t="s">
        <v>56</v>
      </c>
      <c r="D5" s="55">
        <v>22</v>
      </c>
      <c r="E5" s="56" t="s">
        <v>220</v>
      </c>
      <c r="F5" s="55">
        <v>2</v>
      </c>
      <c r="G5" s="56" t="s">
        <v>221</v>
      </c>
      <c r="H5" s="55"/>
      <c r="I5" s="56"/>
      <c r="J5" s="57" t="str">
        <f t="shared" si="0"/>
        <v>EEH</v>
      </c>
      <c r="K5" s="57" t="str">
        <f t="shared" si="1"/>
        <v>EEA50H3</v>
      </c>
      <c r="L5" s="57" t="str">
        <f xml:space="preserve">
IF(OR('Dados da OS'!$D$8=Parâmetros!$B$3,'Dados da OS'!$D$8=Parâmetros!$B$4),
  IF(OR(ISBLANK(D5),ISBLANK(F5)),
     IF(OR(B5="ALI",B5="AIE"),"L",IF(ISBLANK(B5),"","A")),
     IF(B5="EE",IF(F5&gt;=3,IF(D5&gt;=5,"H","A"),
     IF(F5&gt;=2,IF(D5&gt;=16,"H",IF(D5&lt;=4,"L","A")),IF(D5&lt;=15,"L","A"))),
     IF(OR(B5="SE",B5="CE"),IF(F5&gt;=4,IF(D5&gt;=6,"H","A"),IF(F5&gt;=2,IF(D5&gt;=20,"H",IF(D5&lt;=5,"L","A")),IF(D5&lt;=19,"L","A"))),
     IF(OR(B5="ALI",B5="AIE"),IF(F5&gt;=6,IF(D5&gt;=20,"H","A"),IF(F5&gt;=2,IF(D5&gt;=51,"H",IF(D5&lt;=19,"L","A")),IF(D5&lt;=50,"L","A"))))))),
IF('Dados da OS'!$D$8=Parâmetros!$B$6,"Indicativa",
IF('Dados da OS'!$D$8=Parâmetros!$B$5,"PFS","")))</f>
        <v>H</v>
      </c>
      <c r="M5" s="57">
        <f>IFERROR(VLOOKUP(C5,'Fatores de Impacto e INMs'!$A$3:$D$32,3,0),1)</f>
        <v>0.5</v>
      </c>
      <c r="N5" s="57" t="str">
        <f>IFERROR(VLOOKUP(C5,'Fatores de Impacto e INMs'!$A$3:$E$32,5,0),1)</f>
        <v>VP</v>
      </c>
      <c r="O5" s="63" t="str">
        <f xml:space="preserve">
IF(OR('Dados da OS'!$D$8="Selecione o tipo da contagem",ISBLANK('Dados da OS'!$D$8),B5="INM",B5="N/A",ISBLANK(B5),ISBLANK(C5),N5="VF"),"-",
   IF('Dados da OS'!$D$8=Parâmetros!$B$3,
      IF(OR(ISBLANK(D5),ISBLANK(F5)),"-",
         IF(L5="L","Baixa",IF(L5="A","Média",IF(L5="H","Alta","-")))),
      IF('Dados da OS'!$D$8=Parâmetros!$B$4,
         IF(OR(B5="ALI",B5="AIE"),"Baixa",IF(OR(B5="EE",B5="SE",B5="CE"),"Média","-")),
         IF(OR('Dados da OS'!$D$8=Parâmetros!$B$5,'Dados da OS'!$D$8=Parâmetros!$B$6),"-"))))</f>
        <v>Alta</v>
      </c>
      <c r="P5" s="59">
        <f xml:space="preserve">
IF(OR(ISBLANK(B5),ISBLANK(C5),B5="N/A",ISBLANK('Dados da OS'!$D$8)),"",
   IF(OR('Dados da OS'!$D$8=Parâmetros!$B$3,'Dados da OS'!$D$8=Parâmetros!$B$4),
      IF(OR(AND(B5="INM",N5&lt;&gt;"VF"),AND(N5="VF",B5&lt;&gt;"INM")),"",
        IF(AND(B5="INM",N5="VF"),IF(ISBLANK(H5),"",M5*H5),
        IF('Dados da OS'!$D$8=Parâmetros!$B$4,
           IF(OR(B5="CE",B5="EE"),4,IF(B5="SE",5,IF(B5="ALI",7,IF(B5="AIE",5,"")))),
        IF('Dados da OS'!$D$8=Parâmetros!$B$3,
           IF(OR(ISBLANK(D5),ISBLANK(F5)),"",
              IF(B5="ALI",IF(L5="L",7,IF(L5="A",10,15)),
                 IF(B5="AIE",IF(L5="L",5,IF(L5="A",7,10)),
                    IF(B5="SE",IF(L5="L",4,IF(L5="A",5,7)),
                       IF(OR(B5="EE",B5="CE"),IF(L5="L",3,IF(L5="A",4,6)),""))))))))),
   IF('Dados da OS'!$D$8=Parâmetros!$B$5,
      IF(OR(AND(B5="INM",N5&lt;&gt;"VF"),AND(N5="VF",B5&lt;&gt;"INM")),"",
         IF(B5="INM",IF(N5="VF",M5*H5,""),
            IF(B5="PE",4.6,
            IF(B5="AL",7,"")))),
   IF('Dados da OS'!$D$8=Parâmetros!$B$6,
      IF(B5="ALI",35,IF(B5="AIE",15,"")),""))
    )
)</f>
        <v>6</v>
      </c>
      <c r="Q5" s="60">
        <f t="shared" ref="Q5:Q68" si="5">IF(P5="","",IF(B5="INM",P5,P5*M5))</f>
        <v>3</v>
      </c>
      <c r="R5" s="61"/>
      <c r="S5" s="62" t="s">
        <v>320</v>
      </c>
      <c r="T5" s="80" t="s">
        <v>21</v>
      </c>
      <c r="U5" s="81" t="s">
        <v>214</v>
      </c>
      <c r="V5" s="100" t="s">
        <v>121</v>
      </c>
      <c r="W5" s="55" t="s">
        <v>56</v>
      </c>
      <c r="X5" s="55">
        <v>22</v>
      </c>
      <c r="Y5" s="56" t="s">
        <v>220</v>
      </c>
      <c r="Z5" s="55">
        <v>2</v>
      </c>
      <c r="AA5" s="56" t="s">
        <v>221</v>
      </c>
      <c r="AB5" s="55"/>
      <c r="AC5" s="57" t="str">
        <f t="shared" ref="AC5:AC68" si="6">CONCATENATE(V5,AE5)</f>
        <v>EEH</v>
      </c>
      <c r="AD5" s="57" t="str">
        <f t="shared" ref="AD5:AD68" si="7">CONCATENATE(V5,W5,AE5,AJ5)</f>
        <v>EEA50H3</v>
      </c>
      <c r="AE5" s="57" t="str">
        <f xml:space="preserve">
IF(OR('Dados da OS'!$D$8=Parâmetros!$B$3,'Dados da OS'!$D$8=Parâmetros!$B$4),
  IF(OR(ISBLANK(X5),ISBLANK(Z5)),
     IF(OR(V5="ALI",V5="AIE"),"L",IF(ISBLANK(V5),"","A")),
     IF(V5="EE",IF(Z5&gt;=3,IF(X5&gt;=5,"H","A"),
     IF(Z5&gt;=2,IF(X5&gt;=16,"H",IF(X5&lt;=4,"L","A")),IF(X5&lt;=15,"L","A"))),
     IF(OR(V5="SE",V5="CE"),IF(Z5&gt;=4,IF(X5&gt;=6,"H","A"),IF(Z5&gt;=2,IF(X5&gt;=20,"H",IF(X5&lt;=5,"L","A")),IF(X5&lt;=19,"L","A"))),
     IF(OR(V5="ALI",V5="AIE"),IF(Z5&gt;=6,IF(X5&gt;=20,"H","A"),IF(Z5&gt;=2,IF(X5&gt;=51,"H",IF(X5&lt;=19,"L","A")),IF(X5&lt;=50,"L","A"))))))),
IF('Dados da OS'!$D$8=Parâmetros!$B$6,"Indicativa",
IF('Dados da OS'!$D$8=Parâmetros!$B$5,"PFS","")))</f>
        <v>H</v>
      </c>
      <c r="AF5" s="57">
        <f>IFERROR(VLOOKUP(W5,'Fatores de Impacto e INMs'!$A$3:$D$32,3,0),1)</f>
        <v>0.5</v>
      </c>
      <c r="AG5" s="57" t="str">
        <f>IFERROR(VLOOKUP(W5,'Fatores de Impacto e INMs'!$A$3:$E$32,5,0),1)</f>
        <v>VP</v>
      </c>
      <c r="AH5" s="82" t="str">
        <f xml:space="preserve">
IF(OR('Dados da OS'!$D$8="Selecione o tipo da contagem",ISBLANK('Dados da OS'!$D$8),V5="INM",V5="N/A",ISBLANK(V5),ISBLANK(W5),AG5="VF"),"-",
   IF('Dados da OS'!$D$8=Parâmetros!$B$3,
      IF(OR(ISBLANK(X5),ISBLANK(Z5)),"-",
         IF(AE5="L","Baixa",IF(AE5="A","Média",IF(AE5="H","Alta","-")))),
      IF('Dados da OS'!$D$8=Parâmetros!$B$4,
         IF(OR(V5="ALI",V5="AIE"),"Baixa",IF(OR(V5="EE",V5="SE",V5="CE"),"Média","-")),
         IF(OR('Dados da OS'!$D$8=Parâmetros!$B$5,'Dados da OS'!$D$8=Parâmetros!$B$6),"-"))))</f>
        <v>Alta</v>
      </c>
      <c r="AI5" s="83">
        <f xml:space="preserve">
IF(OR(ISBLANK(V5),ISBLANK(U5),ISBLANK(W5),V5="N/A",ISBLANK('Dados da OS'!$D$8)),"",
   IF(OR('Dados da OS'!$D$8=Parâmetros!$B$3,'Dados da OS'!$D$8=Parâmetros!$B$4),
      IF(OR(AND(V5="INM",AG5&lt;&gt;"VF"),AND(AG5="VF",V5&lt;&gt;"INM")),"",
        IF(AND(V5="INM",AG5="VF"),IF(ISBLANK(AB5),"",AF5*AB5),
        IF('Dados da OS'!$D$8=Parâmetros!$B$4,
           IF(OR(V5="CE",V5="EE"),4,IF(V5="SE",5,IF(V5="ALI",7,IF(V5="AIE",5,"")))),
        IF('Dados da OS'!$D$8=Parâmetros!$B$3,
           IF(OR(ISBLANK(X5),ISBLANK(Z5)),"",
              IF(V5="ALI",IF(AE5="L",7,IF(AE5="A",10,15)),
                 IF(V5="AIE",IF(AE5="L",5,IF(AE5="A",7,10)),
                    IF(V5="SE",IF(AE5="L",4,IF(AE5="A",5,7)),
                       IF(OR(V5="EE",V5="CE"),IF(AE5="L",3,IF(AE5="A",4,6)),""))))))))),
   IF('Dados da OS'!$D$8=Parâmetros!$B$5,
      IF(OR(AND(V5="INM",AG5&lt;&gt;"VF"),AND(AG5="VF",V5&lt;&gt;"INM")),"",
         IF(V5="INM",IF(AG5="VF",AF5*AB5,""),
            IF(V5="PE",4.6,
            IF(V5="AL",7,"")))),
   IF('Dados da OS'!$D$8=Parâmetros!$B$6,
      IF(V5="ALI",35,IF(V5="AIE",15,"")),""))
    )
)</f>
        <v>6</v>
      </c>
      <c r="AJ5" s="82">
        <f t="shared" ref="AJ5:AJ68" si="8">IF(AI5="","",IF(V5="INM",AI5,AI5*AF5))</f>
        <v>3</v>
      </c>
      <c r="AK5" s="84"/>
      <c r="AL5" s="85" t="s">
        <v>21</v>
      </c>
      <c r="AM5" s="86"/>
      <c r="AN5" s="85"/>
      <c r="AO5" s="87"/>
      <c r="AP5" s="85"/>
      <c r="AQ5" s="86"/>
      <c r="AR5" s="85"/>
    </row>
    <row r="6" spans="1:44" ht="18.75" customHeight="1">
      <c r="A6" s="54" t="s">
        <v>222</v>
      </c>
      <c r="B6" s="100" t="s">
        <v>121</v>
      </c>
      <c r="C6" s="55" t="s">
        <v>56</v>
      </c>
      <c r="D6" s="55">
        <v>25</v>
      </c>
      <c r="E6" s="56" t="s">
        <v>223</v>
      </c>
      <c r="F6" s="55">
        <v>2</v>
      </c>
      <c r="G6" s="56" t="s">
        <v>221</v>
      </c>
      <c r="H6" s="55"/>
      <c r="I6" s="64"/>
      <c r="J6" s="57" t="str">
        <f t="shared" ref="J6:J51" si="9">CONCATENATE(B6,L6)</f>
        <v>EEH</v>
      </c>
      <c r="K6" s="57" t="str">
        <f t="shared" ref="K6:K51" si="10">CONCATENATE(B6,C6,L6,Q6)</f>
        <v>EEA50H3</v>
      </c>
      <c r="L6" s="57" t="str">
        <f xml:space="preserve">
IF(OR('Dados da OS'!$D$8=Parâmetros!$B$3,'Dados da OS'!$D$8=Parâmetros!$B$4),
  IF(OR(ISBLANK(D6),ISBLANK(F6)),
     IF(OR(B6="ALI",B6="AIE"),"L",IF(ISBLANK(B6),"","A")),
     IF(B6="EE",IF(F6&gt;=3,IF(D6&gt;=5,"H","A"),
     IF(F6&gt;=2,IF(D6&gt;=16,"H",IF(D6&lt;=4,"L","A")),IF(D6&lt;=15,"L","A"))),
     IF(OR(B6="SE",B6="CE"),IF(F6&gt;=4,IF(D6&gt;=6,"H","A"),IF(F6&gt;=2,IF(D6&gt;=20,"H",IF(D6&lt;=5,"L","A")),IF(D6&lt;=19,"L","A"))),
     IF(OR(B6="ALI",B6="AIE"),IF(F6&gt;=6,IF(D6&gt;=20,"H","A"),IF(F6&gt;=2,IF(D6&gt;=51,"H",IF(D6&lt;=19,"L","A")),IF(D6&lt;=50,"L","A"))))))),
IF('Dados da OS'!$D$8=Parâmetros!$B$6,"Indicativa",
IF('Dados da OS'!$D$8=Parâmetros!$B$5,"PFS","")))</f>
        <v>H</v>
      </c>
      <c r="M6" s="57">
        <f>IFERROR(VLOOKUP(C6,'Fatores de Impacto e INMs'!$A$3:$D$32,3,0),1)</f>
        <v>0.5</v>
      </c>
      <c r="N6" s="57" t="str">
        <f>IFERROR(VLOOKUP(C6,'Fatores de Impacto e INMs'!$A$3:$E$32,5,0),1)</f>
        <v>VP</v>
      </c>
      <c r="O6" s="63" t="str">
        <f xml:space="preserve">
IF(OR('Dados da OS'!$D$8="Selecione o tipo da contagem",ISBLANK('Dados da OS'!$D$8),B6="INM",B6="N/A",ISBLANK(B6),ISBLANK(C6),N6="VF"),"-",
   IF('Dados da OS'!$D$8=Parâmetros!$B$3,
      IF(OR(ISBLANK(D6),ISBLANK(F6)),"-",
         IF(L6="L","Baixa",IF(L6="A","Média",IF(L6="H","Alta","-")))),
      IF('Dados da OS'!$D$8=Parâmetros!$B$4,
         IF(OR(B6="ALI",B6="AIE"),"Baixa",IF(OR(B6="EE",B6="SE",B6="CE"),"Média","-")),
         IF(OR('Dados da OS'!$D$8=Parâmetros!$B$5,'Dados da OS'!$D$8=Parâmetros!$B$6),"-"))))</f>
        <v>Alta</v>
      </c>
      <c r="P6" s="59">
        <f xml:space="preserve">
IF(OR(ISBLANK(B6),ISBLANK(C6),B6="N/A",ISBLANK('Dados da OS'!$D$8)),"",
   IF(OR('Dados da OS'!$D$8=Parâmetros!$B$3,'Dados da OS'!$D$8=Parâmetros!$B$4),
      IF(OR(AND(B6="INM",N6&lt;&gt;"VF"),AND(N6="VF",B6&lt;&gt;"INM")),"",
        IF(AND(B6="INM",N6="VF"),IF(ISBLANK(H6),"",M6*H6),
        IF('Dados da OS'!$D$8=Parâmetros!$B$4,
           IF(OR(B6="CE",B6="EE"),4,IF(B6="SE",5,IF(B6="ALI",7,IF(B6="AIE",5,"")))),
        IF('Dados da OS'!$D$8=Parâmetros!$B$3,
           IF(OR(ISBLANK(D6),ISBLANK(F6)),"",
              IF(B6="ALI",IF(L6="L",7,IF(L6="A",10,15)),
                 IF(B6="AIE",IF(L6="L",5,IF(L6="A",7,10)),
                    IF(B6="SE",IF(L6="L",4,IF(L6="A",5,7)),
                       IF(OR(B6="EE",B6="CE"),IF(L6="L",3,IF(L6="A",4,6)),""))))))))),
   IF('Dados da OS'!$D$8=Parâmetros!$B$5,
      IF(OR(AND(B6="INM",N6&lt;&gt;"VF"),AND(N6="VF",B6&lt;&gt;"INM")),"",
         IF(B6="INM",IF(N6="VF",M6*H6,""),
            IF(B6="PE",4.6,
            IF(B6="AL",7,"")))),
   IF('Dados da OS'!$D$8=Parâmetros!$B$6,
      IF(B6="ALI",35,IF(B6="AIE",15,"")),""))
    )
)</f>
        <v>6</v>
      </c>
      <c r="Q6" s="60">
        <f t="shared" si="5"/>
        <v>3</v>
      </c>
      <c r="R6" s="61"/>
      <c r="S6" s="62" t="s">
        <v>320</v>
      </c>
      <c r="T6" s="80" t="s">
        <v>21</v>
      </c>
      <c r="U6" s="215" t="s">
        <v>214</v>
      </c>
      <c r="V6" s="100" t="s">
        <v>121</v>
      </c>
      <c r="W6" s="55" t="s">
        <v>56</v>
      </c>
      <c r="X6" s="55">
        <v>25</v>
      </c>
      <c r="Y6" s="56" t="s">
        <v>223</v>
      </c>
      <c r="Z6" s="55">
        <v>2</v>
      </c>
      <c r="AA6" s="56" t="s">
        <v>221</v>
      </c>
      <c r="AB6" s="55"/>
      <c r="AC6" s="57" t="str">
        <f t="shared" si="6"/>
        <v>EEH</v>
      </c>
      <c r="AD6" s="57" t="str">
        <f t="shared" si="7"/>
        <v>EEA50H3</v>
      </c>
      <c r="AE6" s="57" t="str">
        <f xml:space="preserve">
IF(OR('Dados da OS'!$D$8=Parâmetros!$B$3,'Dados da OS'!$D$8=Parâmetros!$B$4),
  IF(OR(ISBLANK(X6),ISBLANK(Z6)),
     IF(OR(V6="ALI",V6="AIE"),"L",IF(ISBLANK(V6),"","A")),
     IF(V6="EE",IF(Z6&gt;=3,IF(X6&gt;=5,"H","A"),
     IF(Z6&gt;=2,IF(X6&gt;=16,"H",IF(X6&lt;=4,"L","A")),IF(X6&lt;=15,"L","A"))),
     IF(OR(V6="SE",V6="CE"),IF(Z6&gt;=4,IF(X6&gt;=6,"H","A"),IF(Z6&gt;=2,IF(X6&gt;=20,"H",IF(X6&lt;=5,"L","A")),IF(X6&lt;=19,"L","A"))),
     IF(OR(V6="ALI",V6="AIE"),IF(Z6&gt;=6,IF(X6&gt;=20,"H","A"),IF(Z6&gt;=2,IF(X6&gt;=51,"H",IF(X6&lt;=19,"L","A")),IF(X6&lt;=50,"L","A"))))))),
IF('Dados da OS'!$D$8=Parâmetros!$B$6,"Indicativa",
IF('Dados da OS'!$D$8=Parâmetros!$B$5,"PFS","")))</f>
        <v>H</v>
      </c>
      <c r="AF6" s="57">
        <f>IFERROR(VLOOKUP(W6,'Fatores de Impacto e INMs'!$A$3:$D$32,3,0),1)</f>
        <v>0.5</v>
      </c>
      <c r="AG6" s="57" t="str">
        <f>IFERROR(VLOOKUP(W6,'Fatores de Impacto e INMs'!$A$3:$E$32,5,0),1)</f>
        <v>VP</v>
      </c>
      <c r="AH6" s="82" t="str">
        <f xml:space="preserve">
IF(OR('Dados da OS'!$D$8="Selecione o tipo da contagem",ISBLANK('Dados da OS'!$D$8),V6="INM",V6="N/A",ISBLANK(V6),ISBLANK(W6),AG6="VF"),"-",
   IF('Dados da OS'!$D$8=Parâmetros!$B$3,
      IF(OR(ISBLANK(X6),ISBLANK(Z6)),"-",
         IF(AE6="L","Baixa",IF(AE6="A","Média",IF(AE6="H","Alta","-")))),
      IF('Dados da OS'!$D$8=Parâmetros!$B$4,
         IF(OR(V6="ALI",V6="AIE"),"Baixa",IF(OR(V6="EE",V6="SE",V6="CE"),"Média","-")),
         IF(OR('Dados da OS'!$D$8=Parâmetros!$B$5,'Dados da OS'!$D$8=Parâmetros!$B$6),"-"))))</f>
        <v>Alta</v>
      </c>
      <c r="AI6" s="83">
        <f xml:space="preserve">
IF(OR(ISBLANK(V6),ISBLANK(U6),ISBLANK(W6),V6="N/A",ISBLANK('Dados da OS'!$D$8)),"",
   IF(OR('Dados da OS'!$D$8=Parâmetros!$B$3,'Dados da OS'!$D$8=Parâmetros!$B$4),
      IF(OR(AND(V6="INM",AG6&lt;&gt;"VF"),AND(AG6="VF",V6&lt;&gt;"INM")),"",
        IF(AND(V6="INM",AG6="VF"),IF(ISBLANK(AB6),"",AF6*AB6),
        IF('Dados da OS'!$D$8=Parâmetros!$B$4,
           IF(OR(V6="CE",V6="EE"),4,IF(V6="SE",5,IF(V6="ALI",7,IF(V6="AIE",5,"")))),
        IF('Dados da OS'!$D$8=Parâmetros!$B$3,
           IF(OR(ISBLANK(X6),ISBLANK(Z6)),"",
              IF(V6="ALI",IF(AE6="L",7,IF(AE6="A",10,15)),
                 IF(V6="AIE",IF(AE6="L",5,IF(AE6="A",7,10)),
                    IF(V6="SE",IF(AE6="L",4,IF(AE6="A",5,7)),
                       IF(OR(V6="EE",V6="CE"),IF(AE6="L",3,IF(AE6="A",4,6)),""))))))))),
   IF('Dados da OS'!$D$8=Parâmetros!$B$5,
      IF(OR(AND(V6="INM",AG6&lt;&gt;"VF"),AND(AG6="VF",V6&lt;&gt;"INM")),"",
         IF(V6="INM",IF(AG6="VF",AF6*AB6,""),
            IF(V6="PE",4.6,
            IF(V6="AL",7,"")))),
   IF('Dados da OS'!$D$8=Parâmetros!$B$6,
      IF(V6="ALI",35,IF(V6="AIE",15,"")),""))
    )
)</f>
        <v>6</v>
      </c>
      <c r="AJ6" s="82">
        <f t="shared" si="8"/>
        <v>3</v>
      </c>
      <c r="AK6" s="84"/>
      <c r="AL6" s="85" t="s">
        <v>21</v>
      </c>
      <c r="AM6" s="86"/>
      <c r="AN6" s="85"/>
      <c r="AO6" s="87"/>
      <c r="AP6" s="85"/>
      <c r="AQ6" s="86"/>
      <c r="AR6" s="85"/>
    </row>
    <row r="7" spans="1:44" ht="18.75" customHeight="1">
      <c r="A7" s="54" t="s">
        <v>224</v>
      </c>
      <c r="B7" s="100"/>
      <c r="C7" s="55"/>
      <c r="D7" s="55"/>
      <c r="E7" s="56"/>
      <c r="F7" s="55"/>
      <c r="G7" s="56"/>
      <c r="H7" s="55"/>
      <c r="I7" s="64"/>
      <c r="J7" s="57" t="str">
        <f t="shared" si="9"/>
        <v/>
      </c>
      <c r="K7" s="57" t="str">
        <f t="shared" si="10"/>
        <v/>
      </c>
      <c r="L7" s="57" t="str">
        <f xml:space="preserve">
IF(OR('Dados da OS'!$D$8=Parâmetros!$B$3,'Dados da OS'!$D$8=Parâmetros!$B$4),
  IF(OR(ISBLANK(D7),ISBLANK(F7)),
     IF(OR(B7="ALI",B7="AIE"),"L",IF(ISBLANK(B7),"","A")),
     IF(B7="EE",IF(F7&gt;=3,IF(D7&gt;=5,"H","A"),
     IF(F7&gt;=2,IF(D7&gt;=16,"H",IF(D7&lt;=4,"L","A")),IF(D7&lt;=15,"L","A"))),
     IF(OR(B7="SE",B7="CE"),IF(F7&gt;=4,IF(D7&gt;=6,"H","A"),IF(F7&gt;=2,IF(D7&gt;=20,"H",IF(D7&lt;=5,"L","A")),IF(D7&lt;=19,"L","A"))),
     IF(OR(B7="ALI",B7="AIE"),IF(F7&gt;=6,IF(D7&gt;=20,"H","A"),IF(F7&gt;=2,IF(D7&gt;=51,"H",IF(D7&lt;=19,"L","A")),IF(D7&lt;=50,"L","A"))))))),
IF('Dados da OS'!$D$8=Parâmetros!$B$6,"Indicativa",
IF('Dados da OS'!$D$8=Parâmetros!$B$5,"PFS","")))</f>
        <v/>
      </c>
      <c r="M7" s="57">
        <f>IFERROR(VLOOKUP(C7,'Fatores de Impacto e INMs'!$A$3:$D$32,3,0),1)</f>
        <v>1</v>
      </c>
      <c r="N7" s="57">
        <f>IFERROR(VLOOKUP(C7,'Fatores de Impacto e INMs'!$A$3:$E$32,5,0),1)</f>
        <v>1</v>
      </c>
      <c r="O7" s="63" t="str">
        <f xml:space="preserve">
IF(OR('Dados da OS'!$D$8="Selecione o tipo da contagem",ISBLANK('Dados da OS'!$D$8),B7="INM",B7="N/A",ISBLANK(B7),ISBLANK(C7),N7="VF"),"-",
   IF('Dados da OS'!$D$8=Parâmetros!$B$3,
      IF(OR(ISBLANK(D7),ISBLANK(F7)),"-",
         IF(L7="L","Baixa",IF(L7="A","Média",IF(L7="H","Alta","-")))),
      IF('Dados da OS'!$D$8=Parâmetros!$B$4,
         IF(OR(B7="ALI",B7="AIE"),"Baixa",IF(OR(B7="EE",B7="SE",B7="CE"),"Média","-")),
         IF(OR('Dados da OS'!$D$8=Parâmetros!$B$5,'Dados da OS'!$D$8=Parâmetros!$B$6),"-"))))</f>
        <v>-</v>
      </c>
      <c r="P7" s="59" t="str">
        <f xml:space="preserve">
IF(OR(ISBLANK(B7),ISBLANK(C7),B7="N/A",ISBLANK('Dados da OS'!$D$8)),"",
   IF(OR('Dados da OS'!$D$8=Parâmetros!$B$3,'Dados da OS'!$D$8=Parâmetros!$B$4),
      IF(OR(AND(B7="INM",N7&lt;&gt;"VF"),AND(N7="VF",B7&lt;&gt;"INM")),"",
        IF(AND(B7="INM",N7="VF"),IF(ISBLANK(H7),"",M7*H7),
        IF('Dados da OS'!$D$8=Parâmetros!$B$4,
           IF(OR(B7="CE",B7="EE"),4,IF(B7="SE",5,IF(B7="ALI",7,IF(B7="AIE",5,"")))),
        IF('Dados da OS'!$D$8=Parâmetros!$B$3,
           IF(OR(ISBLANK(D7),ISBLANK(F7)),"",
              IF(B7="ALI",IF(L7="L",7,IF(L7="A",10,15)),
                 IF(B7="AIE",IF(L7="L",5,IF(L7="A",7,10)),
                    IF(B7="SE",IF(L7="L",4,IF(L7="A",5,7)),
                       IF(OR(B7="EE",B7="CE"),IF(L7="L",3,IF(L7="A",4,6)),""))))))))),
   IF('Dados da OS'!$D$8=Parâmetros!$B$5,
      IF(OR(AND(B7="INM",N7&lt;&gt;"VF"),AND(N7="VF",B7&lt;&gt;"INM")),"",
         IF(B7="INM",IF(N7="VF",M7*H7,""),
            IF(B7="PE",4.6,
            IF(B7="AL",7,"")))),
   IF('Dados da OS'!$D$8=Parâmetros!$B$6,
      IF(B7="ALI",35,IF(B7="AIE",15,"")),""))
    )
)</f>
        <v/>
      </c>
      <c r="Q7" s="60" t="str">
        <f t="shared" si="5"/>
        <v/>
      </c>
      <c r="R7" s="61"/>
      <c r="S7" s="62"/>
      <c r="T7" s="80" t="s">
        <v>21</v>
      </c>
      <c r="U7" s="215"/>
      <c r="V7" s="99"/>
      <c r="W7" s="55"/>
      <c r="X7" s="55"/>
      <c r="Y7" s="56"/>
      <c r="Z7" s="55"/>
      <c r="AA7" s="56"/>
      <c r="AB7" s="55"/>
      <c r="AC7" s="57" t="str">
        <f t="shared" si="6"/>
        <v/>
      </c>
      <c r="AD7" s="57" t="str">
        <f t="shared" si="7"/>
        <v/>
      </c>
      <c r="AE7" s="57" t="str">
        <f xml:space="preserve">
IF(OR('Dados da OS'!$D$8=Parâmetros!$B$3,'Dados da OS'!$D$8=Parâmetros!$B$4),
  IF(OR(ISBLANK(X7),ISBLANK(Z7)),
     IF(OR(V7="ALI",V7="AIE"),"L",IF(ISBLANK(V7),"","A")),
     IF(V7="EE",IF(Z7&gt;=3,IF(X7&gt;=5,"H","A"),
     IF(Z7&gt;=2,IF(X7&gt;=16,"H",IF(X7&lt;=4,"L","A")),IF(X7&lt;=15,"L","A"))),
     IF(OR(V7="SE",V7="CE"),IF(Z7&gt;=4,IF(X7&gt;=6,"H","A"),IF(Z7&gt;=2,IF(X7&gt;=20,"H",IF(X7&lt;=5,"L","A")),IF(X7&lt;=19,"L","A"))),
     IF(OR(V7="ALI",V7="AIE"),IF(Z7&gt;=6,IF(X7&gt;=20,"H","A"),IF(Z7&gt;=2,IF(X7&gt;=51,"H",IF(X7&lt;=19,"L","A")),IF(X7&lt;=50,"L","A"))))))),
IF('Dados da OS'!$D$8=Parâmetros!$B$6,"Indicativa",
IF('Dados da OS'!$D$8=Parâmetros!$B$5,"PFS","")))</f>
        <v/>
      </c>
      <c r="AF7" s="57">
        <f>IFERROR(VLOOKUP(W7,'Fatores de Impacto e INMs'!$A$3:$D$32,3,0),1)</f>
        <v>1</v>
      </c>
      <c r="AG7" s="57">
        <f>IFERROR(VLOOKUP(W7,'Fatores de Impacto e INMs'!$A$3:$E$32,5,0),1)</f>
        <v>1</v>
      </c>
      <c r="AH7" s="82" t="str">
        <f xml:space="preserve">
IF(OR('Dados da OS'!$D$8="Selecione o tipo da contagem",ISBLANK('Dados da OS'!$D$8),V7="INM",V7="N/A",ISBLANK(V7),ISBLANK(W7),AG7="VF"),"-",
   IF('Dados da OS'!$D$8=Parâmetros!$B$3,
      IF(OR(ISBLANK(X7),ISBLANK(Z7)),"-",
         IF(AE7="L","Baixa",IF(AE7="A","Média",IF(AE7="H","Alta","-")))),
      IF('Dados da OS'!$D$8=Parâmetros!$B$4,
         IF(OR(V7="ALI",V7="AIE"),"Baixa",IF(OR(V7="EE",V7="SE",V7="CE"),"Média","-")),
         IF(OR('Dados da OS'!$D$8=Parâmetros!$B$5,'Dados da OS'!$D$8=Parâmetros!$B$6),"-"))))</f>
        <v>-</v>
      </c>
      <c r="AI7" s="83" t="str">
        <f xml:space="preserve">
IF(OR(ISBLANK(V7),ISBLANK(U7),ISBLANK(W7),V7="N/A",ISBLANK('Dados da OS'!$D$8)),"",
   IF(OR('Dados da OS'!$D$8=Parâmetros!$B$3,'Dados da OS'!$D$8=Parâmetros!$B$4),
      IF(OR(AND(V7="INM",AG7&lt;&gt;"VF"),AND(AG7="VF",V7&lt;&gt;"INM")),"",
        IF(AND(V7="INM",AG7="VF"),IF(ISBLANK(AB7),"",AF7*AB7),
        IF('Dados da OS'!$D$8=Parâmetros!$B$4,
           IF(OR(V7="CE",V7="EE"),4,IF(V7="SE",5,IF(V7="ALI",7,IF(V7="AIE",5,"")))),
        IF('Dados da OS'!$D$8=Parâmetros!$B$3,
           IF(OR(ISBLANK(X7),ISBLANK(Z7)),"",
              IF(V7="ALI",IF(AE7="L",7,IF(AE7="A",10,15)),
                 IF(V7="AIE",IF(AE7="L",5,IF(AE7="A",7,10)),
                    IF(V7="SE",IF(AE7="L",4,IF(AE7="A",5,7)),
                       IF(OR(V7="EE",V7="CE"),IF(AE7="L",3,IF(AE7="A",4,6)),""))))))))),
   IF('Dados da OS'!$D$8=Parâmetros!$B$5,
      IF(OR(AND(V7="INM",AG7&lt;&gt;"VF"),AND(AG7="VF",V7&lt;&gt;"INM")),"",
         IF(V7="INM",IF(AG7="VF",AF7*AB7,""),
            IF(V7="PE",4.6,
            IF(V7="AL",7,"")))),
   IF('Dados da OS'!$D$8=Parâmetros!$B$6,
      IF(V7="ALI",35,IF(V7="AIE",15,"")),""))
    )
)</f>
        <v/>
      </c>
      <c r="AJ7" s="82" t="str">
        <f t="shared" si="8"/>
        <v/>
      </c>
      <c r="AK7" s="84"/>
      <c r="AL7" s="85" t="s">
        <v>21</v>
      </c>
      <c r="AM7" s="86"/>
      <c r="AN7" s="85"/>
      <c r="AO7" s="87"/>
      <c r="AP7" s="85"/>
      <c r="AQ7" s="86"/>
      <c r="AR7" s="85"/>
    </row>
    <row r="8" spans="1:44" ht="18.75" customHeight="1">
      <c r="A8" s="54" t="s">
        <v>225</v>
      </c>
      <c r="B8" s="100" t="s">
        <v>121</v>
      </c>
      <c r="C8" s="55" t="s">
        <v>56</v>
      </c>
      <c r="D8" s="55">
        <v>22</v>
      </c>
      <c r="E8" s="56" t="s">
        <v>226</v>
      </c>
      <c r="F8" s="55">
        <v>2</v>
      </c>
      <c r="G8" s="56" t="s">
        <v>227</v>
      </c>
      <c r="H8" s="55"/>
      <c r="I8" s="64"/>
      <c r="J8" s="57" t="str">
        <f t="shared" si="9"/>
        <v>EEH</v>
      </c>
      <c r="K8" s="57" t="str">
        <f t="shared" si="10"/>
        <v>EEA50H3</v>
      </c>
      <c r="L8" s="57" t="str">
        <f xml:space="preserve">
IF(OR('Dados da OS'!$D$8=Parâmetros!$B$3,'Dados da OS'!$D$8=Parâmetros!$B$4),
  IF(OR(ISBLANK(D8),ISBLANK(F8)),
     IF(OR(B8="ALI",B8="AIE"),"L",IF(ISBLANK(B8),"","A")),
     IF(B8="EE",IF(F8&gt;=3,IF(D8&gt;=5,"H","A"),
     IF(F8&gt;=2,IF(D8&gt;=16,"H",IF(D8&lt;=4,"L","A")),IF(D8&lt;=15,"L","A"))),
     IF(OR(B8="SE",B8="CE"),IF(F8&gt;=4,IF(D8&gt;=6,"H","A"),IF(F8&gt;=2,IF(D8&gt;=20,"H",IF(D8&lt;=5,"L","A")),IF(D8&lt;=19,"L","A"))),
     IF(OR(B8="ALI",B8="AIE"),IF(F8&gt;=6,IF(D8&gt;=20,"H","A"),IF(F8&gt;=2,IF(D8&gt;=51,"H",IF(D8&lt;=19,"L","A")),IF(D8&lt;=50,"L","A"))))))),
IF('Dados da OS'!$D$8=Parâmetros!$B$6,"Indicativa",
IF('Dados da OS'!$D$8=Parâmetros!$B$5,"PFS","")))</f>
        <v>H</v>
      </c>
      <c r="M8" s="57">
        <f>IFERROR(VLOOKUP(C8,'Fatores de Impacto e INMs'!$A$3:$D$32,3,0),1)</f>
        <v>0.5</v>
      </c>
      <c r="N8" s="57" t="str">
        <f>IFERROR(VLOOKUP(C8,'Fatores de Impacto e INMs'!$A$3:$E$32,5,0),1)</f>
        <v>VP</v>
      </c>
      <c r="O8" s="63" t="str">
        <f xml:space="preserve">
IF(OR('Dados da OS'!$D$8="Selecione o tipo da contagem",ISBLANK('Dados da OS'!$D$8),B8="INM",B8="N/A",ISBLANK(B8),ISBLANK(C8),N8="VF"),"-",
   IF('Dados da OS'!$D$8=Parâmetros!$B$3,
      IF(OR(ISBLANK(D8),ISBLANK(F8)),"-",
         IF(L8="L","Baixa",IF(L8="A","Média",IF(L8="H","Alta","-")))),
      IF('Dados da OS'!$D$8=Parâmetros!$B$4,
         IF(OR(B8="ALI",B8="AIE"),"Baixa",IF(OR(B8="EE",B8="SE",B8="CE"),"Média","-")),
         IF(OR('Dados da OS'!$D$8=Parâmetros!$B$5,'Dados da OS'!$D$8=Parâmetros!$B$6),"-"))))</f>
        <v>Alta</v>
      </c>
      <c r="P8" s="59">
        <f xml:space="preserve">
IF(OR(ISBLANK(B8),ISBLANK(C8),B8="N/A",ISBLANK('Dados da OS'!$D$8)),"",
   IF(OR('Dados da OS'!$D$8=Parâmetros!$B$3,'Dados da OS'!$D$8=Parâmetros!$B$4),
      IF(OR(AND(B8="INM",N8&lt;&gt;"VF"),AND(N8="VF",B8&lt;&gt;"INM")),"",
        IF(AND(B8="INM",N8="VF"),IF(ISBLANK(H8),"",M8*H8),
        IF('Dados da OS'!$D$8=Parâmetros!$B$4,
           IF(OR(B8="CE",B8="EE"),4,IF(B8="SE",5,IF(B8="ALI",7,IF(B8="AIE",5,"")))),
        IF('Dados da OS'!$D$8=Parâmetros!$B$3,
           IF(OR(ISBLANK(D8),ISBLANK(F8)),"",
              IF(B8="ALI",IF(L8="L",7,IF(L8="A",10,15)),
                 IF(B8="AIE",IF(L8="L",5,IF(L8="A",7,10)),
                    IF(B8="SE",IF(L8="L",4,IF(L8="A",5,7)),
                       IF(OR(B8="EE",B8="CE"),IF(L8="L",3,IF(L8="A",4,6)),""))))))))),
   IF('Dados da OS'!$D$8=Parâmetros!$B$5,
      IF(OR(AND(B8="INM",N8&lt;&gt;"VF"),AND(N8="VF",B8&lt;&gt;"INM")),"",
         IF(B8="INM",IF(N8="VF",M8*H8,""),
            IF(B8="PE",4.6,
            IF(B8="AL",7,"")))),
   IF('Dados da OS'!$D$8=Parâmetros!$B$6,
      IF(B8="ALI",35,IF(B8="AIE",15,"")),""))
    )
)</f>
        <v>6</v>
      </c>
      <c r="Q8" s="60">
        <f t="shared" si="5"/>
        <v>3</v>
      </c>
      <c r="R8" s="61"/>
      <c r="S8" s="62" t="s">
        <v>321</v>
      </c>
      <c r="T8" s="80" t="s">
        <v>21</v>
      </c>
      <c r="U8" s="215" t="s">
        <v>214</v>
      </c>
      <c r="V8" s="99" t="s">
        <v>121</v>
      </c>
      <c r="W8" s="55" t="s">
        <v>56</v>
      </c>
      <c r="X8" s="55">
        <v>22</v>
      </c>
      <c r="Y8" s="56" t="s">
        <v>226</v>
      </c>
      <c r="Z8" s="55">
        <v>2</v>
      </c>
      <c r="AA8" s="56" t="s">
        <v>227</v>
      </c>
      <c r="AB8" s="55"/>
      <c r="AC8" s="57" t="str">
        <f t="shared" si="6"/>
        <v>EEH</v>
      </c>
      <c r="AD8" s="57" t="str">
        <f t="shared" si="7"/>
        <v>EEA50H3</v>
      </c>
      <c r="AE8" s="57" t="str">
        <f xml:space="preserve">
IF(OR('Dados da OS'!$D$8=Parâmetros!$B$3,'Dados da OS'!$D$8=Parâmetros!$B$4),
  IF(OR(ISBLANK(X8),ISBLANK(Z8)),
     IF(OR(V8="ALI",V8="AIE"),"L",IF(ISBLANK(V8),"","A")),
     IF(V8="EE",IF(Z8&gt;=3,IF(X8&gt;=5,"H","A"),
     IF(Z8&gt;=2,IF(X8&gt;=16,"H",IF(X8&lt;=4,"L","A")),IF(X8&lt;=15,"L","A"))),
     IF(OR(V8="SE",V8="CE"),IF(Z8&gt;=4,IF(X8&gt;=6,"H","A"),IF(Z8&gt;=2,IF(X8&gt;=20,"H",IF(X8&lt;=5,"L","A")),IF(X8&lt;=19,"L","A"))),
     IF(OR(V8="ALI",V8="AIE"),IF(Z8&gt;=6,IF(X8&gt;=20,"H","A"),IF(Z8&gt;=2,IF(X8&gt;=51,"H",IF(X8&lt;=19,"L","A")),IF(X8&lt;=50,"L","A"))))))),
IF('Dados da OS'!$D$8=Parâmetros!$B$6,"Indicativa",
IF('Dados da OS'!$D$8=Parâmetros!$B$5,"PFS","")))</f>
        <v>H</v>
      </c>
      <c r="AF8" s="57">
        <f>IFERROR(VLOOKUP(W8,'Fatores de Impacto e INMs'!$A$3:$D$32,3,0),1)</f>
        <v>0.5</v>
      </c>
      <c r="AG8" s="57" t="str">
        <f>IFERROR(VLOOKUP(W8,'Fatores de Impacto e INMs'!$A$3:$E$32,5,0),1)</f>
        <v>VP</v>
      </c>
      <c r="AH8" s="82" t="str">
        <f xml:space="preserve">
IF(OR('Dados da OS'!$D$8="Selecione o tipo da contagem",ISBLANK('Dados da OS'!$D$8),V8="INM",V8="N/A",ISBLANK(V8),ISBLANK(W8),AG8="VF"),"-",
   IF('Dados da OS'!$D$8=Parâmetros!$B$3,
      IF(OR(ISBLANK(X8),ISBLANK(Z8)),"-",
         IF(AE8="L","Baixa",IF(AE8="A","Média",IF(AE8="H","Alta","-")))),
      IF('Dados da OS'!$D$8=Parâmetros!$B$4,
         IF(OR(V8="ALI",V8="AIE"),"Baixa",IF(OR(V8="EE",V8="SE",V8="CE"),"Média","-")),
         IF(OR('Dados da OS'!$D$8=Parâmetros!$B$5,'Dados da OS'!$D$8=Parâmetros!$B$6),"-"))))</f>
        <v>Alta</v>
      </c>
      <c r="AI8" s="83">
        <f xml:space="preserve">
IF(OR(ISBLANK(V8),ISBLANK(U8),ISBLANK(W8),V8="N/A",ISBLANK('Dados da OS'!$D$8)),"",
   IF(OR('Dados da OS'!$D$8=Parâmetros!$B$3,'Dados da OS'!$D$8=Parâmetros!$B$4),
      IF(OR(AND(V8="INM",AG8&lt;&gt;"VF"),AND(AG8="VF",V8&lt;&gt;"INM")),"",
        IF(AND(V8="INM",AG8="VF"),IF(ISBLANK(AB8),"",AF8*AB8),
        IF('Dados da OS'!$D$8=Parâmetros!$B$4,
           IF(OR(V8="CE",V8="EE"),4,IF(V8="SE",5,IF(V8="ALI",7,IF(V8="AIE",5,"")))),
        IF('Dados da OS'!$D$8=Parâmetros!$B$3,
           IF(OR(ISBLANK(X8),ISBLANK(Z8)),"",
              IF(V8="ALI",IF(AE8="L",7,IF(AE8="A",10,15)),
                 IF(V8="AIE",IF(AE8="L",5,IF(AE8="A",7,10)),
                    IF(V8="SE",IF(AE8="L",4,IF(AE8="A",5,7)),
                       IF(OR(V8="EE",V8="CE"),IF(AE8="L",3,IF(AE8="A",4,6)),""))))))))),
   IF('Dados da OS'!$D$8=Parâmetros!$B$5,
      IF(OR(AND(V8="INM",AG8&lt;&gt;"VF"),AND(AG8="VF",V8&lt;&gt;"INM")),"",
         IF(V8="INM",IF(AG8="VF",AF8*AB8,""),
            IF(V8="PE",4.6,
            IF(V8="AL",7,"")))),
   IF('Dados da OS'!$D$8=Parâmetros!$B$6,
      IF(V8="ALI",35,IF(V8="AIE",15,"")),""))
    )
)</f>
        <v>6</v>
      </c>
      <c r="AJ8" s="82">
        <f t="shared" si="8"/>
        <v>3</v>
      </c>
      <c r="AK8" s="84"/>
      <c r="AL8" s="85" t="s">
        <v>21</v>
      </c>
      <c r="AM8" s="86"/>
      <c r="AN8" s="85"/>
      <c r="AO8" s="87"/>
      <c r="AP8" s="85"/>
      <c r="AQ8" s="86"/>
      <c r="AR8" s="85"/>
    </row>
    <row r="9" spans="1:44" ht="18.75" customHeight="1">
      <c r="A9" s="54" t="s">
        <v>228</v>
      </c>
      <c r="B9" s="100" t="s">
        <v>121</v>
      </c>
      <c r="C9" s="55" t="s">
        <v>56</v>
      </c>
      <c r="D9" s="55">
        <v>22</v>
      </c>
      <c r="E9" s="56" t="s">
        <v>226</v>
      </c>
      <c r="F9" s="55">
        <v>2</v>
      </c>
      <c r="G9" s="56" t="s">
        <v>227</v>
      </c>
      <c r="H9" s="55"/>
      <c r="I9" s="64"/>
      <c r="J9" s="57" t="str">
        <f t="shared" si="9"/>
        <v>EEH</v>
      </c>
      <c r="K9" s="57" t="str">
        <f t="shared" si="10"/>
        <v>EEA50H3</v>
      </c>
      <c r="L9" s="57" t="str">
        <f xml:space="preserve">
IF(OR('Dados da OS'!$D$8=Parâmetros!$B$3,'Dados da OS'!$D$8=Parâmetros!$B$4),
  IF(OR(ISBLANK(D9),ISBLANK(F9)),
     IF(OR(B9="ALI",B9="AIE"),"L",IF(ISBLANK(B9),"","A")),
     IF(B9="EE",IF(F9&gt;=3,IF(D9&gt;=5,"H","A"),
     IF(F9&gt;=2,IF(D9&gt;=16,"H",IF(D9&lt;=4,"L","A")),IF(D9&lt;=15,"L","A"))),
     IF(OR(B9="SE",B9="CE"),IF(F9&gt;=4,IF(D9&gt;=6,"H","A"),IF(F9&gt;=2,IF(D9&gt;=20,"H",IF(D9&lt;=5,"L","A")),IF(D9&lt;=19,"L","A"))),
     IF(OR(B9="ALI",B9="AIE"),IF(F9&gt;=6,IF(D9&gt;=20,"H","A"),IF(F9&gt;=2,IF(D9&gt;=51,"H",IF(D9&lt;=19,"L","A")),IF(D9&lt;=50,"L","A"))))))),
IF('Dados da OS'!$D$8=Parâmetros!$B$6,"Indicativa",
IF('Dados da OS'!$D$8=Parâmetros!$B$5,"PFS","")))</f>
        <v>H</v>
      </c>
      <c r="M9" s="57">
        <f>IFERROR(VLOOKUP(C9,'Fatores de Impacto e INMs'!$A$3:$D$32,3,0),1)</f>
        <v>0.5</v>
      </c>
      <c r="N9" s="57" t="str">
        <f>IFERROR(VLOOKUP(C9,'Fatores de Impacto e INMs'!$A$3:$E$32,5,0),1)</f>
        <v>VP</v>
      </c>
      <c r="O9" s="63" t="str">
        <f xml:space="preserve">
IF(OR('Dados da OS'!$D$8="Selecione o tipo da contagem",ISBLANK('Dados da OS'!$D$8),B9="INM",B9="N/A",ISBLANK(B9),ISBLANK(C9),N9="VF"),"-",
   IF('Dados da OS'!$D$8=Parâmetros!$B$3,
      IF(OR(ISBLANK(D9),ISBLANK(F9)),"-",
         IF(L9="L","Baixa",IF(L9="A","Média",IF(L9="H","Alta","-")))),
      IF('Dados da OS'!$D$8=Parâmetros!$B$4,
         IF(OR(B9="ALI",B9="AIE"),"Baixa",IF(OR(B9="EE",B9="SE",B9="CE"),"Média","-")),
         IF(OR('Dados da OS'!$D$8=Parâmetros!$B$5,'Dados da OS'!$D$8=Parâmetros!$B$6),"-"))))</f>
        <v>Alta</v>
      </c>
      <c r="P9" s="59">
        <f xml:space="preserve">
IF(OR(ISBLANK(B9),ISBLANK(C9),B9="N/A",ISBLANK('Dados da OS'!$D$8)),"",
   IF(OR('Dados da OS'!$D$8=Parâmetros!$B$3,'Dados da OS'!$D$8=Parâmetros!$B$4),
      IF(OR(AND(B9="INM",N9&lt;&gt;"VF"),AND(N9="VF",B9&lt;&gt;"INM")),"",
        IF(AND(B9="INM",N9="VF"),IF(ISBLANK(H9),"",M9*H9),
        IF('Dados da OS'!$D$8=Parâmetros!$B$4,
           IF(OR(B9="CE",B9="EE"),4,IF(B9="SE",5,IF(B9="ALI",7,IF(B9="AIE",5,"")))),
        IF('Dados da OS'!$D$8=Parâmetros!$B$3,
           IF(OR(ISBLANK(D9),ISBLANK(F9)),"",
              IF(B9="ALI",IF(L9="L",7,IF(L9="A",10,15)),
                 IF(B9="AIE",IF(L9="L",5,IF(L9="A",7,10)),
                    IF(B9="SE",IF(L9="L",4,IF(L9="A",5,7)),
                       IF(OR(B9="EE",B9="CE"),IF(L9="L",3,IF(L9="A",4,6)),""))))))))),
   IF('Dados da OS'!$D$8=Parâmetros!$B$5,
      IF(OR(AND(B9="INM",N9&lt;&gt;"VF"),AND(N9="VF",B9&lt;&gt;"INM")),"",
         IF(B9="INM",IF(N9="VF",M9*H9,""),
            IF(B9="PE",4.6,
            IF(B9="AL",7,"")))),
   IF('Dados da OS'!$D$8=Parâmetros!$B$6,
      IF(B9="ALI",35,IF(B9="AIE",15,"")),""))
    )
)</f>
        <v>6</v>
      </c>
      <c r="Q9" s="60">
        <f t="shared" si="5"/>
        <v>3</v>
      </c>
      <c r="R9" s="61"/>
      <c r="S9" s="62" t="s">
        <v>321</v>
      </c>
      <c r="T9" s="80" t="s">
        <v>21</v>
      </c>
      <c r="U9" s="215" t="s">
        <v>214</v>
      </c>
      <c r="V9" s="99" t="s">
        <v>121</v>
      </c>
      <c r="W9" s="55" t="s">
        <v>56</v>
      </c>
      <c r="X9" s="55">
        <v>22</v>
      </c>
      <c r="Y9" s="56" t="s">
        <v>226</v>
      </c>
      <c r="Z9" s="55">
        <v>2</v>
      </c>
      <c r="AA9" s="56" t="s">
        <v>227</v>
      </c>
      <c r="AB9" s="55"/>
      <c r="AC9" s="57" t="str">
        <f t="shared" si="6"/>
        <v>EEH</v>
      </c>
      <c r="AD9" s="57" t="str">
        <f t="shared" si="7"/>
        <v>EEA50H3</v>
      </c>
      <c r="AE9" s="57" t="str">
        <f xml:space="preserve">
IF(OR('Dados da OS'!$D$8=Parâmetros!$B$3,'Dados da OS'!$D$8=Parâmetros!$B$4),
  IF(OR(ISBLANK(X9),ISBLANK(Z9)),
     IF(OR(V9="ALI",V9="AIE"),"L",IF(ISBLANK(V9),"","A")),
     IF(V9="EE",IF(Z9&gt;=3,IF(X9&gt;=5,"H","A"),
     IF(Z9&gt;=2,IF(X9&gt;=16,"H",IF(X9&lt;=4,"L","A")),IF(X9&lt;=15,"L","A"))),
     IF(OR(V9="SE",V9="CE"),IF(Z9&gt;=4,IF(X9&gt;=6,"H","A"),IF(Z9&gt;=2,IF(X9&gt;=20,"H",IF(X9&lt;=5,"L","A")),IF(X9&lt;=19,"L","A"))),
     IF(OR(V9="ALI",V9="AIE"),IF(Z9&gt;=6,IF(X9&gt;=20,"H","A"),IF(Z9&gt;=2,IF(X9&gt;=51,"H",IF(X9&lt;=19,"L","A")),IF(X9&lt;=50,"L","A"))))))),
IF('Dados da OS'!$D$8=Parâmetros!$B$6,"Indicativa",
IF('Dados da OS'!$D$8=Parâmetros!$B$5,"PFS","")))</f>
        <v>H</v>
      </c>
      <c r="AF9" s="57">
        <f>IFERROR(VLOOKUP(W9,'Fatores de Impacto e INMs'!$A$3:$D$32,3,0),1)</f>
        <v>0.5</v>
      </c>
      <c r="AG9" s="57" t="str">
        <f>IFERROR(VLOOKUP(W9,'Fatores de Impacto e INMs'!$A$3:$E$32,5,0),1)</f>
        <v>VP</v>
      </c>
      <c r="AH9" s="82" t="str">
        <f xml:space="preserve">
IF(OR('Dados da OS'!$D$8="Selecione o tipo da contagem",ISBLANK('Dados da OS'!$D$8),V9="INM",V9="N/A",ISBLANK(V9),ISBLANK(W9),AG9="VF"),"-",
   IF('Dados da OS'!$D$8=Parâmetros!$B$3,
      IF(OR(ISBLANK(X9),ISBLANK(Z9)),"-",
         IF(AE9="L","Baixa",IF(AE9="A","Média",IF(AE9="H","Alta","-")))),
      IF('Dados da OS'!$D$8=Parâmetros!$B$4,
         IF(OR(V9="ALI",V9="AIE"),"Baixa",IF(OR(V9="EE",V9="SE",V9="CE"),"Média","-")),
         IF(OR('Dados da OS'!$D$8=Parâmetros!$B$5,'Dados da OS'!$D$8=Parâmetros!$B$6),"-"))))</f>
        <v>Alta</v>
      </c>
      <c r="AI9" s="83">
        <f xml:space="preserve">
IF(OR(ISBLANK(V9),ISBLANK(U9),ISBLANK(W9),V9="N/A",ISBLANK('Dados da OS'!$D$8)),"",
   IF(OR('Dados da OS'!$D$8=Parâmetros!$B$3,'Dados da OS'!$D$8=Parâmetros!$B$4),
      IF(OR(AND(V9="INM",AG9&lt;&gt;"VF"),AND(AG9="VF",V9&lt;&gt;"INM")),"",
        IF(AND(V9="INM",AG9="VF"),IF(ISBLANK(AB9),"",AF9*AB9),
        IF('Dados da OS'!$D$8=Parâmetros!$B$4,
           IF(OR(V9="CE",V9="EE"),4,IF(V9="SE",5,IF(V9="ALI",7,IF(V9="AIE",5,"")))),
        IF('Dados da OS'!$D$8=Parâmetros!$B$3,
           IF(OR(ISBLANK(X9),ISBLANK(Z9)),"",
              IF(V9="ALI",IF(AE9="L",7,IF(AE9="A",10,15)),
                 IF(V9="AIE",IF(AE9="L",5,IF(AE9="A",7,10)),
                    IF(V9="SE",IF(AE9="L",4,IF(AE9="A",5,7)),
                       IF(OR(V9="EE",V9="CE"),IF(AE9="L",3,IF(AE9="A",4,6)),""))))))))),
   IF('Dados da OS'!$D$8=Parâmetros!$B$5,
      IF(OR(AND(V9="INM",AG9&lt;&gt;"VF"),AND(AG9="VF",V9&lt;&gt;"INM")),"",
         IF(V9="INM",IF(AG9="VF",AF9*AB9,""),
            IF(V9="PE",4.6,
            IF(V9="AL",7,"")))),
   IF('Dados da OS'!$D$8=Parâmetros!$B$6,
      IF(V9="ALI",35,IF(V9="AIE",15,"")),""))
    )
)</f>
        <v>6</v>
      </c>
      <c r="AJ9" s="82">
        <f t="shared" si="8"/>
        <v>3</v>
      </c>
      <c r="AK9" s="84"/>
      <c r="AL9" s="85" t="s">
        <v>21</v>
      </c>
      <c r="AM9" s="86"/>
      <c r="AN9" s="85"/>
      <c r="AO9" s="87"/>
      <c r="AP9" s="85"/>
      <c r="AQ9" s="86"/>
      <c r="AR9" s="85"/>
    </row>
    <row r="10" spans="1:44" ht="18.75" customHeight="1">
      <c r="A10" s="54" t="s">
        <v>229</v>
      </c>
      <c r="B10" s="100"/>
      <c r="C10" s="55" t="s">
        <v>56</v>
      </c>
      <c r="D10" s="55"/>
      <c r="E10" s="56"/>
      <c r="F10" s="55"/>
      <c r="G10" s="56"/>
      <c r="H10" s="55"/>
      <c r="I10" s="64"/>
      <c r="J10" s="57" t="str">
        <f t="shared" si="9"/>
        <v/>
      </c>
      <c r="K10" s="57" t="str">
        <f t="shared" si="10"/>
        <v>A50</v>
      </c>
      <c r="L10" s="57" t="str">
        <f xml:space="preserve">
IF(OR('Dados da OS'!$D$8=Parâmetros!$B$3,'Dados da OS'!$D$8=Parâmetros!$B$4),
  IF(OR(ISBLANK(D10),ISBLANK(F10)),
     IF(OR(B10="ALI",B10="AIE"),"L",IF(ISBLANK(B10),"","A")),
     IF(B10="EE",IF(F10&gt;=3,IF(D10&gt;=5,"H","A"),
     IF(F10&gt;=2,IF(D10&gt;=16,"H",IF(D10&lt;=4,"L","A")),IF(D10&lt;=15,"L","A"))),
     IF(OR(B10="SE",B10="CE"),IF(F10&gt;=4,IF(D10&gt;=6,"H","A"),IF(F10&gt;=2,IF(D10&gt;=20,"H",IF(D10&lt;=5,"L","A")),IF(D10&lt;=19,"L","A"))),
     IF(OR(B10="ALI",B10="AIE"),IF(F10&gt;=6,IF(D10&gt;=20,"H","A"),IF(F10&gt;=2,IF(D10&gt;=51,"H",IF(D10&lt;=19,"L","A")),IF(D10&lt;=50,"L","A"))))))),
IF('Dados da OS'!$D$8=Parâmetros!$B$6,"Indicativa",
IF('Dados da OS'!$D$8=Parâmetros!$B$5,"PFS","")))</f>
        <v/>
      </c>
      <c r="M10" s="57">
        <f>IFERROR(VLOOKUP(C10,'Fatores de Impacto e INMs'!$A$3:$D$32,3,0),1)</f>
        <v>0.5</v>
      </c>
      <c r="N10" s="57" t="str">
        <f>IFERROR(VLOOKUP(C10,'Fatores de Impacto e INMs'!$A$3:$E$32,5,0),1)</f>
        <v>VP</v>
      </c>
      <c r="O10" s="63" t="str">
        <f xml:space="preserve">
IF(OR('Dados da OS'!$D$8="Selecione o tipo da contagem",ISBLANK('Dados da OS'!$D$8),B10="INM",B10="N/A",ISBLANK(B10),ISBLANK(C10),N10="VF"),"-",
   IF('Dados da OS'!$D$8=Parâmetros!$B$3,
      IF(OR(ISBLANK(D10),ISBLANK(F10)),"-",
         IF(L10="L","Baixa",IF(L10="A","Média",IF(L10="H","Alta","-")))),
      IF('Dados da OS'!$D$8=Parâmetros!$B$4,
         IF(OR(B10="ALI",B10="AIE"),"Baixa",IF(OR(B10="EE",B10="SE",B10="CE"),"Média","-")),
         IF(OR('Dados da OS'!$D$8=Parâmetros!$B$5,'Dados da OS'!$D$8=Parâmetros!$B$6),"-"))))</f>
        <v>-</v>
      </c>
      <c r="P10" s="59" t="str">
        <f xml:space="preserve">
IF(OR(ISBLANK(B10),ISBLANK(C10),B10="N/A",ISBLANK('Dados da OS'!$D$8)),"",
   IF(OR('Dados da OS'!$D$8=Parâmetros!$B$3,'Dados da OS'!$D$8=Parâmetros!$B$4),
      IF(OR(AND(B10="INM",N10&lt;&gt;"VF"),AND(N10="VF",B10&lt;&gt;"INM")),"",
        IF(AND(B10="INM",N10="VF"),IF(ISBLANK(H10),"",M10*H10),
        IF('Dados da OS'!$D$8=Parâmetros!$B$4,
           IF(OR(B10="CE",B10="EE"),4,IF(B10="SE",5,IF(B10="ALI",7,IF(B10="AIE",5,"")))),
        IF('Dados da OS'!$D$8=Parâmetros!$B$3,
           IF(OR(ISBLANK(D10),ISBLANK(F10)),"",
              IF(B10="ALI",IF(L10="L",7,IF(L10="A",10,15)),
                 IF(B10="AIE",IF(L10="L",5,IF(L10="A",7,10)),
                    IF(B10="SE",IF(L10="L",4,IF(L10="A",5,7)),
                       IF(OR(B10="EE",B10="CE"),IF(L10="L",3,IF(L10="A",4,6)),""))))))))),
   IF('Dados da OS'!$D$8=Parâmetros!$B$5,
      IF(OR(AND(B10="INM",N10&lt;&gt;"VF"),AND(N10="VF",B10&lt;&gt;"INM")),"",
         IF(B10="INM",IF(N10="VF",M10*H10,""),
            IF(B10="PE",4.6,
            IF(B10="AL",7,"")))),
   IF('Dados da OS'!$D$8=Parâmetros!$B$6,
      IF(B10="ALI",35,IF(B10="AIE",15,"")),""))
    )
)</f>
        <v/>
      </c>
      <c r="Q10" s="60" t="str">
        <f t="shared" si="5"/>
        <v/>
      </c>
      <c r="R10" s="61"/>
      <c r="S10" s="62"/>
      <c r="T10" s="80" t="s">
        <v>21</v>
      </c>
      <c r="U10" s="215"/>
      <c r="V10" s="99"/>
      <c r="W10" s="55"/>
      <c r="X10" s="55"/>
      <c r="Y10" s="56"/>
      <c r="Z10" s="55"/>
      <c r="AA10" s="56"/>
      <c r="AB10" s="55"/>
      <c r="AC10" s="57" t="str">
        <f t="shared" si="6"/>
        <v/>
      </c>
      <c r="AD10" s="57" t="str">
        <f t="shared" si="7"/>
        <v/>
      </c>
      <c r="AE10" s="57" t="str">
        <f xml:space="preserve">
IF(OR('Dados da OS'!$D$8=Parâmetros!$B$3,'Dados da OS'!$D$8=Parâmetros!$B$4),
  IF(OR(ISBLANK(X10),ISBLANK(Z10)),
     IF(OR(V10="ALI",V10="AIE"),"L",IF(ISBLANK(V10),"","A")),
     IF(V10="EE",IF(Z10&gt;=3,IF(X10&gt;=5,"H","A"),
     IF(Z10&gt;=2,IF(X10&gt;=16,"H",IF(X10&lt;=4,"L","A")),IF(X10&lt;=15,"L","A"))),
     IF(OR(V10="SE",V10="CE"),IF(Z10&gt;=4,IF(X10&gt;=6,"H","A"),IF(Z10&gt;=2,IF(X10&gt;=20,"H",IF(X10&lt;=5,"L","A")),IF(X10&lt;=19,"L","A"))),
     IF(OR(V10="ALI",V10="AIE"),IF(Z10&gt;=6,IF(X10&gt;=20,"H","A"),IF(Z10&gt;=2,IF(X10&gt;=51,"H",IF(X10&lt;=19,"L","A")),IF(X10&lt;=50,"L","A"))))))),
IF('Dados da OS'!$D$8=Parâmetros!$B$6,"Indicativa",
IF('Dados da OS'!$D$8=Parâmetros!$B$5,"PFS","")))</f>
        <v/>
      </c>
      <c r="AF10" s="57">
        <f>IFERROR(VLOOKUP(W10,'Fatores de Impacto e INMs'!$A$3:$D$32,3,0),1)</f>
        <v>1</v>
      </c>
      <c r="AG10" s="57">
        <f>IFERROR(VLOOKUP(W10,'Fatores de Impacto e INMs'!$A$3:$E$32,5,0),1)</f>
        <v>1</v>
      </c>
      <c r="AH10" s="82" t="str">
        <f xml:space="preserve">
IF(OR('Dados da OS'!$D$8="Selecione o tipo da contagem",ISBLANK('Dados da OS'!$D$8),V10="INM",V10="N/A",ISBLANK(V10),ISBLANK(W10),AG10="VF"),"-",
   IF('Dados da OS'!$D$8=Parâmetros!$B$3,
      IF(OR(ISBLANK(X10),ISBLANK(Z10)),"-",
         IF(AE10="L","Baixa",IF(AE10="A","Média",IF(AE10="H","Alta","-")))),
      IF('Dados da OS'!$D$8=Parâmetros!$B$4,
         IF(OR(V10="ALI",V10="AIE"),"Baixa",IF(OR(V10="EE",V10="SE",V10="CE"),"Média","-")),
         IF(OR('Dados da OS'!$D$8=Parâmetros!$B$5,'Dados da OS'!$D$8=Parâmetros!$B$6),"-"))))</f>
        <v>-</v>
      </c>
      <c r="AI10" s="83" t="str">
        <f xml:space="preserve">
IF(OR(ISBLANK(V10),ISBLANK(U10),ISBLANK(W10),V10="N/A",ISBLANK('Dados da OS'!$D$8)),"",
   IF(OR('Dados da OS'!$D$8=Parâmetros!$B$3,'Dados da OS'!$D$8=Parâmetros!$B$4),
      IF(OR(AND(V10="INM",AG10&lt;&gt;"VF"),AND(AG10="VF",V10&lt;&gt;"INM")),"",
        IF(AND(V10="INM",AG10="VF"),IF(ISBLANK(AB10),"",AF10*AB10),
        IF('Dados da OS'!$D$8=Parâmetros!$B$4,
           IF(OR(V10="CE",V10="EE"),4,IF(V10="SE",5,IF(V10="ALI",7,IF(V10="AIE",5,"")))),
        IF('Dados da OS'!$D$8=Parâmetros!$B$3,
           IF(OR(ISBLANK(X10),ISBLANK(Z10)),"",
              IF(V10="ALI",IF(AE10="L",7,IF(AE10="A",10,15)),
                 IF(V10="AIE",IF(AE10="L",5,IF(AE10="A",7,10)),
                    IF(V10="SE",IF(AE10="L",4,IF(AE10="A",5,7)),
                       IF(OR(V10="EE",V10="CE"),IF(AE10="L",3,IF(AE10="A",4,6)),""))))))))),
   IF('Dados da OS'!$D$8=Parâmetros!$B$5,
      IF(OR(AND(V10="INM",AG10&lt;&gt;"VF"),AND(AG10="VF",V10&lt;&gt;"INM")),"",
         IF(V10="INM",IF(AG10="VF",AF10*AB10,""),
            IF(V10="PE",4.6,
            IF(V10="AL",7,"")))),
   IF('Dados da OS'!$D$8=Parâmetros!$B$6,
      IF(V10="ALI",35,IF(V10="AIE",15,"")),""))
    )
)</f>
        <v/>
      </c>
      <c r="AJ10" s="82" t="str">
        <f t="shared" si="8"/>
        <v/>
      </c>
      <c r="AK10" s="84"/>
      <c r="AL10" s="85" t="s">
        <v>21</v>
      </c>
      <c r="AM10" s="86"/>
      <c r="AN10" s="85"/>
      <c r="AO10" s="87"/>
      <c r="AP10" s="85"/>
      <c r="AQ10" s="86"/>
      <c r="AR10" s="85"/>
    </row>
    <row r="11" spans="1:44" ht="15.75" customHeight="1">
      <c r="A11" s="54" t="s">
        <v>230</v>
      </c>
      <c r="B11" s="100" t="s">
        <v>121</v>
      </c>
      <c r="C11" s="55" t="s">
        <v>56</v>
      </c>
      <c r="D11" s="55">
        <v>14</v>
      </c>
      <c r="E11" s="56" t="s">
        <v>231</v>
      </c>
      <c r="F11" s="55">
        <v>2</v>
      </c>
      <c r="G11" s="56" t="s">
        <v>232</v>
      </c>
      <c r="H11" s="55"/>
      <c r="I11" s="64"/>
      <c r="J11" s="57" t="str">
        <f t="shared" si="9"/>
        <v>EEA</v>
      </c>
      <c r="K11" s="57" t="str">
        <f t="shared" si="10"/>
        <v>EEA50A2</v>
      </c>
      <c r="L11" s="57" t="str">
        <f xml:space="preserve">
IF(OR('Dados da OS'!$D$8=Parâmetros!$B$3,'Dados da OS'!$D$8=Parâmetros!$B$4),
  IF(OR(ISBLANK(D11),ISBLANK(F11)),
     IF(OR(B11="ALI",B11="AIE"),"L",IF(ISBLANK(B11),"","A")),
     IF(B11="EE",IF(F11&gt;=3,IF(D11&gt;=5,"H","A"),
     IF(F11&gt;=2,IF(D11&gt;=16,"H",IF(D11&lt;=4,"L","A")),IF(D11&lt;=15,"L","A"))),
     IF(OR(B11="SE",B11="CE"),IF(F11&gt;=4,IF(D11&gt;=6,"H","A"),IF(F11&gt;=2,IF(D11&gt;=20,"H",IF(D11&lt;=5,"L","A")),IF(D11&lt;=19,"L","A"))),
     IF(OR(B11="ALI",B11="AIE"),IF(F11&gt;=6,IF(D11&gt;=20,"H","A"),IF(F11&gt;=2,IF(D11&gt;=51,"H",IF(D11&lt;=19,"L","A")),IF(D11&lt;=50,"L","A"))))))),
IF('Dados da OS'!$D$8=Parâmetros!$B$6,"Indicativa",
IF('Dados da OS'!$D$8=Parâmetros!$B$5,"PFS","")))</f>
        <v>A</v>
      </c>
      <c r="M11" s="57">
        <f>IFERROR(VLOOKUP(C11,'Fatores de Impacto e INMs'!$A$3:$D$32,3,0),1)</f>
        <v>0.5</v>
      </c>
      <c r="N11" s="57" t="str">
        <f>IFERROR(VLOOKUP(C11,'Fatores de Impacto e INMs'!$A$3:$E$32,5,0),1)</f>
        <v>VP</v>
      </c>
      <c r="O11" s="63" t="str">
        <f xml:space="preserve">
IF(OR('Dados da OS'!$D$8="Selecione o tipo da contagem",ISBLANK('Dados da OS'!$D$8),B11="INM",B11="N/A",ISBLANK(B11),ISBLANK(C11),N11="VF"),"-",
   IF('Dados da OS'!$D$8=Parâmetros!$B$3,
      IF(OR(ISBLANK(D11),ISBLANK(F11)),"-",
         IF(L11="L","Baixa",IF(L11="A","Média",IF(L11="H","Alta","-")))),
      IF('Dados da OS'!$D$8=Parâmetros!$B$4,
         IF(OR(B11="ALI",B11="AIE"),"Baixa",IF(OR(B11="EE",B11="SE",B11="CE"),"Média","-")),
         IF(OR('Dados da OS'!$D$8=Parâmetros!$B$5,'Dados da OS'!$D$8=Parâmetros!$B$6),"-"))))</f>
        <v>Média</v>
      </c>
      <c r="P11" s="59">
        <f xml:space="preserve">
IF(OR(ISBLANK(B11),ISBLANK(C11),B11="N/A",ISBLANK('Dados da OS'!$D$8)),"",
   IF(OR('Dados da OS'!$D$8=Parâmetros!$B$3,'Dados da OS'!$D$8=Parâmetros!$B$4),
      IF(OR(AND(B11="INM",N11&lt;&gt;"VF"),AND(N11="VF",B11&lt;&gt;"INM")),"",
        IF(AND(B11="INM",N11="VF"),IF(ISBLANK(H11),"",M11*H11),
        IF('Dados da OS'!$D$8=Parâmetros!$B$4,
           IF(OR(B11="CE",B11="EE"),4,IF(B11="SE",5,IF(B11="ALI",7,IF(B11="AIE",5,"")))),
        IF('Dados da OS'!$D$8=Parâmetros!$B$3,
           IF(OR(ISBLANK(D11),ISBLANK(F11)),"",
              IF(B11="ALI",IF(L11="L",7,IF(L11="A",10,15)),
                 IF(B11="AIE",IF(L11="L",5,IF(L11="A",7,10)),
                    IF(B11="SE",IF(L11="L",4,IF(L11="A",5,7)),
                       IF(OR(B11="EE",B11="CE"),IF(L11="L",3,IF(L11="A",4,6)),""))))))))),
   IF('Dados da OS'!$D$8=Parâmetros!$B$5,
      IF(OR(AND(B11="INM",N11&lt;&gt;"VF"),AND(N11="VF",B11&lt;&gt;"INM")),"",
         IF(B11="INM",IF(N11="VF",M11*H11,""),
            IF(B11="PE",4.6,
            IF(B11="AL",7,"")))),
   IF('Dados da OS'!$D$8=Parâmetros!$B$6,
      IF(B11="ALI",35,IF(B11="AIE",15,"")),""))
    )
)</f>
        <v>4</v>
      </c>
      <c r="Q11" s="60">
        <f t="shared" si="5"/>
        <v>2</v>
      </c>
      <c r="R11" s="61"/>
      <c r="S11" s="62" t="s">
        <v>322</v>
      </c>
      <c r="T11" s="80" t="s">
        <v>21</v>
      </c>
      <c r="U11" s="215" t="s">
        <v>214</v>
      </c>
      <c r="V11" s="99" t="s">
        <v>121</v>
      </c>
      <c r="W11" s="55" t="s">
        <v>56</v>
      </c>
      <c r="X11" s="55">
        <v>14</v>
      </c>
      <c r="Y11" s="56" t="s">
        <v>231</v>
      </c>
      <c r="Z11" s="55">
        <v>2</v>
      </c>
      <c r="AA11" s="56" t="s">
        <v>232</v>
      </c>
      <c r="AB11" s="55"/>
      <c r="AC11" s="57" t="str">
        <f t="shared" si="6"/>
        <v>EEA</v>
      </c>
      <c r="AD11" s="57" t="str">
        <f t="shared" si="7"/>
        <v>EEA50A2</v>
      </c>
      <c r="AE11" s="57" t="str">
        <f xml:space="preserve">
IF(OR('Dados da OS'!$D$8=Parâmetros!$B$3,'Dados da OS'!$D$8=Parâmetros!$B$4),
  IF(OR(ISBLANK(X11),ISBLANK(Z11)),
     IF(OR(V11="ALI",V11="AIE"),"L",IF(ISBLANK(V11),"","A")),
     IF(V11="EE",IF(Z11&gt;=3,IF(X11&gt;=5,"H","A"),
     IF(Z11&gt;=2,IF(X11&gt;=16,"H",IF(X11&lt;=4,"L","A")),IF(X11&lt;=15,"L","A"))),
     IF(OR(V11="SE",V11="CE"),IF(Z11&gt;=4,IF(X11&gt;=6,"H","A"),IF(Z11&gt;=2,IF(X11&gt;=20,"H",IF(X11&lt;=5,"L","A")),IF(X11&lt;=19,"L","A"))),
     IF(OR(V11="ALI",V11="AIE"),IF(Z11&gt;=6,IF(X11&gt;=20,"H","A"),IF(Z11&gt;=2,IF(X11&gt;=51,"H",IF(X11&lt;=19,"L","A")),IF(X11&lt;=50,"L","A"))))))),
IF('Dados da OS'!$D$8=Parâmetros!$B$6,"Indicativa",
IF('Dados da OS'!$D$8=Parâmetros!$B$5,"PFS","")))</f>
        <v>A</v>
      </c>
      <c r="AF11" s="57">
        <f>IFERROR(VLOOKUP(W11,'Fatores de Impacto e INMs'!$A$3:$D$32,3,0),1)</f>
        <v>0.5</v>
      </c>
      <c r="AG11" s="57" t="str">
        <f>IFERROR(VLOOKUP(W11,'Fatores de Impacto e INMs'!$A$3:$E$32,5,0),1)</f>
        <v>VP</v>
      </c>
      <c r="AH11" s="82" t="str">
        <f xml:space="preserve">
IF(OR('Dados da OS'!$D$8="Selecione o tipo da contagem",ISBLANK('Dados da OS'!$D$8),V11="INM",V11="N/A",ISBLANK(V11),ISBLANK(W11),AG11="VF"),"-",
   IF('Dados da OS'!$D$8=Parâmetros!$B$3,
      IF(OR(ISBLANK(X11),ISBLANK(Z11)),"-",
         IF(AE11="L","Baixa",IF(AE11="A","Média",IF(AE11="H","Alta","-")))),
      IF('Dados da OS'!$D$8=Parâmetros!$B$4,
         IF(OR(V11="ALI",V11="AIE"),"Baixa",IF(OR(V11="EE",V11="SE",V11="CE"),"Média","-")),
         IF(OR('Dados da OS'!$D$8=Parâmetros!$B$5,'Dados da OS'!$D$8=Parâmetros!$B$6),"-"))))</f>
        <v>Média</v>
      </c>
      <c r="AI11" s="83">
        <f xml:space="preserve">
IF(OR(ISBLANK(V11),ISBLANK(U11),ISBLANK(W11),V11="N/A",ISBLANK('Dados da OS'!$D$8)),"",
   IF(OR('Dados da OS'!$D$8=Parâmetros!$B$3,'Dados da OS'!$D$8=Parâmetros!$B$4),
      IF(OR(AND(V11="INM",AG11&lt;&gt;"VF"),AND(AG11="VF",V11&lt;&gt;"INM")),"",
        IF(AND(V11="INM",AG11="VF"),IF(ISBLANK(AB11),"",AF11*AB11),
        IF('Dados da OS'!$D$8=Parâmetros!$B$4,
           IF(OR(V11="CE",V11="EE"),4,IF(V11="SE",5,IF(V11="ALI",7,IF(V11="AIE",5,"")))),
        IF('Dados da OS'!$D$8=Parâmetros!$B$3,
           IF(OR(ISBLANK(X11),ISBLANK(Z11)),"",
              IF(V11="ALI",IF(AE11="L",7,IF(AE11="A",10,15)),
                 IF(V11="AIE",IF(AE11="L",5,IF(AE11="A",7,10)),
                    IF(V11="SE",IF(AE11="L",4,IF(AE11="A",5,7)),
                       IF(OR(V11="EE",V11="CE"),IF(AE11="L",3,IF(AE11="A",4,6)),""))))))))),
   IF('Dados da OS'!$D$8=Parâmetros!$B$5,
      IF(OR(AND(V11="INM",AG11&lt;&gt;"VF"),AND(AG11="VF",V11&lt;&gt;"INM")),"",
         IF(V11="INM",IF(AG11="VF",AF11*AB11,""),
            IF(V11="PE",4.6,
            IF(V11="AL",7,"")))),
   IF('Dados da OS'!$D$8=Parâmetros!$B$6,
      IF(V11="ALI",35,IF(V11="AIE",15,"")),""))
    )
)</f>
        <v>4</v>
      </c>
      <c r="AJ11" s="82">
        <f t="shared" si="8"/>
        <v>2</v>
      </c>
      <c r="AK11" s="84"/>
      <c r="AL11" s="85" t="s">
        <v>21</v>
      </c>
      <c r="AM11" s="86"/>
      <c r="AN11" s="85"/>
      <c r="AO11" s="87"/>
      <c r="AP11" s="85"/>
      <c r="AQ11" s="86"/>
      <c r="AR11" s="85"/>
    </row>
    <row r="12" spans="1:44" ht="15.75" customHeight="1">
      <c r="A12" s="54" t="s">
        <v>233</v>
      </c>
      <c r="B12" s="100" t="s">
        <v>121</v>
      </c>
      <c r="C12" s="55" t="s">
        <v>56</v>
      </c>
      <c r="D12" s="55">
        <v>14</v>
      </c>
      <c r="E12" s="56" t="s">
        <v>231</v>
      </c>
      <c r="F12" s="55">
        <v>2</v>
      </c>
      <c r="G12" s="56" t="s">
        <v>232</v>
      </c>
      <c r="H12" s="55"/>
      <c r="I12" s="64"/>
      <c r="J12" s="57" t="str">
        <f t="shared" si="9"/>
        <v>EEA</v>
      </c>
      <c r="K12" s="57" t="str">
        <f t="shared" si="10"/>
        <v>EEA50A2</v>
      </c>
      <c r="L12" s="57" t="str">
        <f xml:space="preserve">
IF(OR('Dados da OS'!$D$8=Parâmetros!$B$3,'Dados da OS'!$D$8=Parâmetros!$B$4),
  IF(OR(ISBLANK(D12),ISBLANK(F12)),
     IF(OR(B12="ALI",B12="AIE"),"L",IF(ISBLANK(B12),"","A")),
     IF(B12="EE",IF(F12&gt;=3,IF(D12&gt;=5,"H","A"),
     IF(F12&gt;=2,IF(D12&gt;=16,"H",IF(D12&lt;=4,"L","A")),IF(D12&lt;=15,"L","A"))),
     IF(OR(B12="SE",B12="CE"),IF(F12&gt;=4,IF(D12&gt;=6,"H","A"),IF(F12&gt;=2,IF(D12&gt;=20,"H",IF(D12&lt;=5,"L","A")),IF(D12&lt;=19,"L","A"))),
     IF(OR(B12="ALI",B12="AIE"),IF(F12&gt;=6,IF(D12&gt;=20,"H","A"),IF(F12&gt;=2,IF(D12&gt;=51,"H",IF(D12&lt;=19,"L","A")),IF(D12&lt;=50,"L","A"))))))),
IF('Dados da OS'!$D$8=Parâmetros!$B$6,"Indicativa",
IF('Dados da OS'!$D$8=Parâmetros!$B$5,"PFS","")))</f>
        <v>A</v>
      </c>
      <c r="M12" s="57">
        <f>IFERROR(VLOOKUP(C12,'Fatores de Impacto e INMs'!$A$3:$D$32,3,0),1)</f>
        <v>0.5</v>
      </c>
      <c r="N12" s="57" t="str">
        <f>IFERROR(VLOOKUP(C12,'Fatores de Impacto e INMs'!$A$3:$E$32,5,0),1)</f>
        <v>VP</v>
      </c>
      <c r="O12" s="63" t="str">
        <f xml:space="preserve">
IF(OR('Dados da OS'!$D$8="Selecione o tipo da contagem",ISBLANK('Dados da OS'!$D$8),B12="INM",B12="N/A",ISBLANK(B12),ISBLANK(C12),N12="VF"),"-",
   IF('Dados da OS'!$D$8=Parâmetros!$B$3,
      IF(OR(ISBLANK(D12),ISBLANK(F12)),"-",
         IF(L12="L","Baixa",IF(L12="A","Média",IF(L12="H","Alta","-")))),
      IF('Dados da OS'!$D$8=Parâmetros!$B$4,
         IF(OR(B12="ALI",B12="AIE"),"Baixa",IF(OR(B12="EE",B12="SE",B12="CE"),"Média","-")),
         IF(OR('Dados da OS'!$D$8=Parâmetros!$B$5,'Dados da OS'!$D$8=Parâmetros!$B$6),"-"))))</f>
        <v>Média</v>
      </c>
      <c r="P12" s="59">
        <f xml:space="preserve">
IF(OR(ISBLANK(B12),ISBLANK(C12),B12="N/A",ISBLANK('Dados da OS'!$D$8)),"",
   IF(OR('Dados da OS'!$D$8=Parâmetros!$B$3,'Dados da OS'!$D$8=Parâmetros!$B$4),
      IF(OR(AND(B12="INM",N12&lt;&gt;"VF"),AND(N12="VF",B12&lt;&gt;"INM")),"",
        IF(AND(B12="INM",N12="VF"),IF(ISBLANK(H12),"",M12*H12),
        IF('Dados da OS'!$D$8=Parâmetros!$B$4,
           IF(OR(B12="CE",B12="EE"),4,IF(B12="SE",5,IF(B12="ALI",7,IF(B12="AIE",5,"")))),
        IF('Dados da OS'!$D$8=Parâmetros!$B$3,
           IF(OR(ISBLANK(D12),ISBLANK(F12)),"",
              IF(B12="ALI",IF(L12="L",7,IF(L12="A",10,15)),
                 IF(B12="AIE",IF(L12="L",5,IF(L12="A",7,10)),
                    IF(B12="SE",IF(L12="L",4,IF(L12="A",5,7)),
                       IF(OR(B12="EE",B12="CE"),IF(L12="L",3,IF(L12="A",4,6)),""))))))))),
   IF('Dados da OS'!$D$8=Parâmetros!$B$5,
      IF(OR(AND(B12="INM",N12&lt;&gt;"VF"),AND(N12="VF",B12&lt;&gt;"INM")),"",
         IF(B12="INM",IF(N12="VF",M12*H12,""),
            IF(B12="PE",4.6,
            IF(B12="AL",7,"")))),
   IF('Dados da OS'!$D$8=Parâmetros!$B$6,
      IF(B12="ALI",35,IF(B12="AIE",15,"")),""))
    )
)</f>
        <v>4</v>
      </c>
      <c r="Q12" s="60">
        <f t="shared" si="5"/>
        <v>2</v>
      </c>
      <c r="R12" s="61"/>
      <c r="S12" s="62" t="s">
        <v>322</v>
      </c>
      <c r="T12" s="80" t="s">
        <v>21</v>
      </c>
      <c r="U12" s="215" t="s">
        <v>214</v>
      </c>
      <c r="V12" s="99" t="s">
        <v>121</v>
      </c>
      <c r="W12" s="55" t="s">
        <v>56</v>
      </c>
      <c r="X12" s="55">
        <v>14</v>
      </c>
      <c r="Y12" s="56" t="s">
        <v>231</v>
      </c>
      <c r="Z12" s="55">
        <v>2</v>
      </c>
      <c r="AA12" s="56" t="s">
        <v>232</v>
      </c>
      <c r="AB12" s="55"/>
      <c r="AC12" s="57" t="str">
        <f t="shared" si="6"/>
        <v>EEA</v>
      </c>
      <c r="AD12" s="57" t="str">
        <f t="shared" si="7"/>
        <v>EEA50A2</v>
      </c>
      <c r="AE12" s="57" t="str">
        <f xml:space="preserve">
IF(OR('Dados da OS'!$D$8=Parâmetros!$B$3,'Dados da OS'!$D$8=Parâmetros!$B$4),
  IF(OR(ISBLANK(X12),ISBLANK(Z12)),
     IF(OR(V12="ALI",V12="AIE"),"L",IF(ISBLANK(V12),"","A")),
     IF(V12="EE",IF(Z12&gt;=3,IF(X12&gt;=5,"H","A"),
     IF(Z12&gt;=2,IF(X12&gt;=16,"H",IF(X12&lt;=4,"L","A")),IF(X12&lt;=15,"L","A"))),
     IF(OR(V12="SE",V12="CE"),IF(Z12&gt;=4,IF(X12&gt;=6,"H","A"),IF(Z12&gt;=2,IF(X12&gt;=20,"H",IF(X12&lt;=5,"L","A")),IF(X12&lt;=19,"L","A"))),
     IF(OR(V12="ALI",V12="AIE"),IF(Z12&gt;=6,IF(X12&gt;=20,"H","A"),IF(Z12&gt;=2,IF(X12&gt;=51,"H",IF(X12&lt;=19,"L","A")),IF(X12&lt;=50,"L","A"))))))),
IF('Dados da OS'!$D$8=Parâmetros!$B$6,"Indicativa",
IF('Dados da OS'!$D$8=Parâmetros!$B$5,"PFS","")))</f>
        <v>A</v>
      </c>
      <c r="AF12" s="57">
        <f>IFERROR(VLOOKUP(W12,'Fatores de Impacto e INMs'!$A$3:$D$32,3,0),1)</f>
        <v>0.5</v>
      </c>
      <c r="AG12" s="57" t="str">
        <f>IFERROR(VLOOKUP(W12,'Fatores de Impacto e INMs'!$A$3:$E$32,5,0),1)</f>
        <v>VP</v>
      </c>
      <c r="AH12" s="82" t="str">
        <f xml:space="preserve">
IF(OR('Dados da OS'!$D$8="Selecione o tipo da contagem",ISBLANK('Dados da OS'!$D$8),V12="INM",V12="N/A",ISBLANK(V12),ISBLANK(W12),AG12="VF"),"-",
   IF('Dados da OS'!$D$8=Parâmetros!$B$3,
      IF(OR(ISBLANK(X12),ISBLANK(Z12)),"-",
         IF(AE12="L","Baixa",IF(AE12="A","Média",IF(AE12="H","Alta","-")))),
      IF('Dados da OS'!$D$8=Parâmetros!$B$4,
         IF(OR(V12="ALI",V12="AIE"),"Baixa",IF(OR(V12="EE",V12="SE",V12="CE"),"Média","-")),
         IF(OR('Dados da OS'!$D$8=Parâmetros!$B$5,'Dados da OS'!$D$8=Parâmetros!$B$6),"-"))))</f>
        <v>Média</v>
      </c>
      <c r="AI12" s="83">
        <f xml:space="preserve">
IF(OR(ISBLANK(V12),ISBLANK(U12),ISBLANK(W12),V12="N/A",ISBLANK('Dados da OS'!$D$8)),"",
   IF(OR('Dados da OS'!$D$8=Parâmetros!$B$3,'Dados da OS'!$D$8=Parâmetros!$B$4),
      IF(OR(AND(V12="INM",AG12&lt;&gt;"VF"),AND(AG12="VF",V12&lt;&gt;"INM")),"",
        IF(AND(V12="INM",AG12="VF"),IF(ISBLANK(AB12),"",AF12*AB12),
        IF('Dados da OS'!$D$8=Parâmetros!$B$4,
           IF(OR(V12="CE",V12="EE"),4,IF(V12="SE",5,IF(V12="ALI",7,IF(V12="AIE",5,"")))),
        IF('Dados da OS'!$D$8=Parâmetros!$B$3,
           IF(OR(ISBLANK(X12),ISBLANK(Z12)),"",
              IF(V12="ALI",IF(AE12="L",7,IF(AE12="A",10,15)),
                 IF(V12="AIE",IF(AE12="L",5,IF(AE12="A",7,10)),
                    IF(V12="SE",IF(AE12="L",4,IF(AE12="A",5,7)),
                       IF(OR(V12="EE",V12="CE"),IF(AE12="L",3,IF(AE12="A",4,6)),""))))))))),
   IF('Dados da OS'!$D$8=Parâmetros!$B$5,
      IF(OR(AND(V12="INM",AG12&lt;&gt;"VF"),AND(AG12="VF",V12&lt;&gt;"INM")),"",
         IF(V12="INM",IF(AG12="VF",AF12*AB12,""),
            IF(V12="PE",4.6,
            IF(V12="AL",7,"")))),
   IF('Dados da OS'!$D$8=Parâmetros!$B$6,
      IF(V12="ALI",35,IF(V12="AIE",15,"")),""))
    )
)</f>
        <v>4</v>
      </c>
      <c r="AJ12" s="82">
        <f t="shared" si="8"/>
        <v>2</v>
      </c>
      <c r="AK12" s="84"/>
      <c r="AL12" s="85" t="s">
        <v>21</v>
      </c>
      <c r="AM12" s="86"/>
      <c r="AN12" s="85"/>
      <c r="AO12" s="87"/>
      <c r="AP12" s="85"/>
      <c r="AQ12" s="86"/>
      <c r="AR12" s="85"/>
    </row>
    <row r="13" spans="1:44" ht="15.75" customHeight="1">
      <c r="A13" s="54" t="s">
        <v>234</v>
      </c>
      <c r="B13" s="100"/>
      <c r="C13" s="55"/>
      <c r="D13" s="55"/>
      <c r="E13" s="56"/>
      <c r="F13" s="55"/>
      <c r="G13" s="56"/>
      <c r="H13" s="55"/>
      <c r="I13" s="64"/>
      <c r="J13" s="57" t="str">
        <f t="shared" si="9"/>
        <v/>
      </c>
      <c r="K13" s="57" t="str">
        <f t="shared" si="10"/>
        <v/>
      </c>
      <c r="L13" s="57" t="str">
        <f xml:space="preserve">
IF(OR('Dados da OS'!$D$8=Parâmetros!$B$3,'Dados da OS'!$D$8=Parâmetros!$B$4),
  IF(OR(ISBLANK(D13),ISBLANK(F13)),
     IF(OR(B13="ALI",B13="AIE"),"L",IF(ISBLANK(B13),"","A")),
     IF(B13="EE",IF(F13&gt;=3,IF(D13&gt;=5,"H","A"),
     IF(F13&gt;=2,IF(D13&gt;=16,"H",IF(D13&lt;=4,"L","A")),IF(D13&lt;=15,"L","A"))),
     IF(OR(B13="SE",B13="CE"),IF(F13&gt;=4,IF(D13&gt;=6,"H","A"),IF(F13&gt;=2,IF(D13&gt;=20,"H",IF(D13&lt;=5,"L","A")),IF(D13&lt;=19,"L","A"))),
     IF(OR(B13="ALI",B13="AIE"),IF(F13&gt;=6,IF(D13&gt;=20,"H","A"),IF(F13&gt;=2,IF(D13&gt;=51,"H",IF(D13&lt;=19,"L","A")),IF(D13&lt;=50,"L","A"))))))),
IF('Dados da OS'!$D$8=Parâmetros!$B$6,"Indicativa",
IF('Dados da OS'!$D$8=Parâmetros!$B$5,"PFS","")))</f>
        <v/>
      </c>
      <c r="M13" s="57">
        <f>IFERROR(VLOOKUP(C13,'Fatores de Impacto e INMs'!$A$3:$D$32,3,0),1)</f>
        <v>1</v>
      </c>
      <c r="N13" s="57">
        <f>IFERROR(VLOOKUP(C13,'Fatores de Impacto e INMs'!$A$3:$E$32,5,0),1)</f>
        <v>1</v>
      </c>
      <c r="O13" s="63" t="str">
        <f xml:space="preserve">
IF(OR('Dados da OS'!$D$8="Selecione o tipo da contagem",ISBLANK('Dados da OS'!$D$8),B13="INM",B13="N/A",ISBLANK(B13),ISBLANK(C13),N13="VF"),"-",
   IF('Dados da OS'!$D$8=Parâmetros!$B$3,
      IF(OR(ISBLANK(D13),ISBLANK(F13)),"-",
         IF(L13="L","Baixa",IF(L13="A","Média",IF(L13="H","Alta","-")))),
      IF('Dados da OS'!$D$8=Parâmetros!$B$4,
         IF(OR(B13="ALI",B13="AIE"),"Baixa",IF(OR(B13="EE",B13="SE",B13="CE"),"Média","-")),
         IF(OR('Dados da OS'!$D$8=Parâmetros!$B$5,'Dados da OS'!$D$8=Parâmetros!$B$6),"-"))))</f>
        <v>-</v>
      </c>
      <c r="P13" s="59" t="str">
        <f xml:space="preserve">
IF(OR(ISBLANK(B13),ISBLANK(C13),B13="N/A",ISBLANK('Dados da OS'!$D$8)),"",
   IF(OR('Dados da OS'!$D$8=Parâmetros!$B$3,'Dados da OS'!$D$8=Parâmetros!$B$4),
      IF(OR(AND(B13="INM",N13&lt;&gt;"VF"),AND(N13="VF",B13&lt;&gt;"INM")),"",
        IF(AND(B13="INM",N13="VF"),IF(ISBLANK(H13),"",M13*H13),
        IF('Dados da OS'!$D$8=Parâmetros!$B$4,
           IF(OR(B13="CE",B13="EE"),4,IF(B13="SE",5,IF(B13="ALI",7,IF(B13="AIE",5,"")))),
        IF('Dados da OS'!$D$8=Parâmetros!$B$3,
           IF(OR(ISBLANK(D13),ISBLANK(F13)),"",
              IF(B13="ALI",IF(L13="L",7,IF(L13="A",10,15)),
                 IF(B13="AIE",IF(L13="L",5,IF(L13="A",7,10)),
                    IF(B13="SE",IF(L13="L",4,IF(L13="A",5,7)),
                       IF(OR(B13="EE",B13="CE"),IF(L13="L",3,IF(L13="A",4,6)),""))))))))),
   IF('Dados da OS'!$D$8=Parâmetros!$B$5,
      IF(OR(AND(B13="INM",N13&lt;&gt;"VF"),AND(N13="VF",B13&lt;&gt;"INM")),"",
         IF(B13="INM",IF(N13="VF",M13*H13,""),
            IF(B13="PE",4.6,
            IF(B13="AL",7,"")))),
   IF('Dados da OS'!$D$8=Parâmetros!$B$6,
      IF(B13="ALI",35,IF(B13="AIE",15,"")),""))
    )
)</f>
        <v/>
      </c>
      <c r="Q13" s="60" t="str">
        <f t="shared" si="5"/>
        <v/>
      </c>
      <c r="R13" s="61"/>
      <c r="S13" s="62"/>
      <c r="T13" s="80" t="s">
        <v>21</v>
      </c>
      <c r="U13" s="215"/>
      <c r="V13" s="99"/>
      <c r="W13" s="55"/>
      <c r="X13" s="55"/>
      <c r="Y13" s="56"/>
      <c r="Z13" s="55"/>
      <c r="AA13" s="56"/>
      <c r="AB13" s="55"/>
      <c r="AC13" s="57" t="str">
        <f t="shared" si="6"/>
        <v/>
      </c>
      <c r="AD13" s="57" t="str">
        <f t="shared" si="7"/>
        <v/>
      </c>
      <c r="AE13" s="57" t="str">
        <f xml:space="preserve">
IF(OR('Dados da OS'!$D$8=Parâmetros!$B$3,'Dados da OS'!$D$8=Parâmetros!$B$4),
  IF(OR(ISBLANK(X13),ISBLANK(Z13)),
     IF(OR(V13="ALI",V13="AIE"),"L",IF(ISBLANK(V13),"","A")),
     IF(V13="EE",IF(Z13&gt;=3,IF(X13&gt;=5,"H","A"),
     IF(Z13&gt;=2,IF(X13&gt;=16,"H",IF(X13&lt;=4,"L","A")),IF(X13&lt;=15,"L","A"))),
     IF(OR(V13="SE",V13="CE"),IF(Z13&gt;=4,IF(X13&gt;=6,"H","A"),IF(Z13&gt;=2,IF(X13&gt;=20,"H",IF(X13&lt;=5,"L","A")),IF(X13&lt;=19,"L","A"))),
     IF(OR(V13="ALI",V13="AIE"),IF(Z13&gt;=6,IF(X13&gt;=20,"H","A"),IF(Z13&gt;=2,IF(X13&gt;=51,"H",IF(X13&lt;=19,"L","A")),IF(X13&lt;=50,"L","A"))))))),
IF('Dados da OS'!$D$8=Parâmetros!$B$6,"Indicativa",
IF('Dados da OS'!$D$8=Parâmetros!$B$5,"PFS","")))</f>
        <v/>
      </c>
      <c r="AF13" s="57">
        <f>IFERROR(VLOOKUP(W13,'Fatores de Impacto e INMs'!$A$3:$D$32,3,0),1)</f>
        <v>1</v>
      </c>
      <c r="AG13" s="57">
        <f>IFERROR(VLOOKUP(W13,'Fatores de Impacto e INMs'!$A$3:$E$32,5,0),1)</f>
        <v>1</v>
      </c>
      <c r="AH13" s="82" t="str">
        <f xml:space="preserve">
IF(OR('Dados da OS'!$D$8="Selecione o tipo da contagem",ISBLANK('Dados da OS'!$D$8),V13="INM",V13="N/A",ISBLANK(V13),ISBLANK(W13),AG13="VF"),"-",
   IF('Dados da OS'!$D$8=Parâmetros!$B$3,
      IF(OR(ISBLANK(X13),ISBLANK(Z13)),"-",
         IF(AE13="L","Baixa",IF(AE13="A","Média",IF(AE13="H","Alta","-")))),
      IF('Dados da OS'!$D$8=Parâmetros!$B$4,
         IF(OR(V13="ALI",V13="AIE"),"Baixa",IF(OR(V13="EE",V13="SE",V13="CE"),"Média","-")),
         IF(OR('Dados da OS'!$D$8=Parâmetros!$B$5,'Dados da OS'!$D$8=Parâmetros!$B$6),"-"))))</f>
        <v>-</v>
      </c>
      <c r="AI13" s="83" t="str">
        <f xml:space="preserve">
IF(OR(ISBLANK(V13),ISBLANK(U13),ISBLANK(W13),V13="N/A",ISBLANK('Dados da OS'!$D$8)),"",
   IF(OR('Dados da OS'!$D$8=Parâmetros!$B$3,'Dados da OS'!$D$8=Parâmetros!$B$4),
      IF(OR(AND(V13="INM",AG13&lt;&gt;"VF"),AND(AG13="VF",V13&lt;&gt;"INM")),"",
        IF(AND(V13="INM",AG13="VF"),IF(ISBLANK(AB13),"",AF13*AB13),
        IF('Dados da OS'!$D$8=Parâmetros!$B$4,
           IF(OR(V13="CE",V13="EE"),4,IF(V13="SE",5,IF(V13="ALI",7,IF(V13="AIE",5,"")))),
        IF('Dados da OS'!$D$8=Parâmetros!$B$3,
           IF(OR(ISBLANK(X13),ISBLANK(Z13)),"",
              IF(V13="ALI",IF(AE13="L",7,IF(AE13="A",10,15)),
                 IF(V13="AIE",IF(AE13="L",5,IF(AE13="A",7,10)),
                    IF(V13="SE",IF(AE13="L",4,IF(AE13="A",5,7)),
                       IF(OR(V13="EE",V13="CE"),IF(AE13="L",3,IF(AE13="A",4,6)),""))))))))),
   IF('Dados da OS'!$D$8=Parâmetros!$B$5,
      IF(OR(AND(V13="INM",AG13&lt;&gt;"VF"),AND(AG13="VF",V13&lt;&gt;"INM")),"",
         IF(V13="INM",IF(AG13="VF",AF13*AB13,""),
            IF(V13="PE",4.6,
            IF(V13="AL",7,"")))),
   IF('Dados da OS'!$D$8=Parâmetros!$B$6,
      IF(V13="ALI",35,IF(V13="AIE",15,"")),""))
    )
)</f>
        <v/>
      </c>
      <c r="AJ13" s="82" t="str">
        <f t="shared" si="8"/>
        <v/>
      </c>
      <c r="AK13" s="84"/>
      <c r="AL13" s="85" t="s">
        <v>21</v>
      </c>
      <c r="AM13" s="86"/>
      <c r="AN13" s="85"/>
      <c r="AO13" s="87"/>
      <c r="AP13" s="85"/>
      <c r="AQ13" s="86"/>
      <c r="AR13" s="85"/>
    </row>
    <row r="14" spans="1:44" ht="15.75" customHeight="1">
      <c r="A14" s="54" t="s">
        <v>235</v>
      </c>
      <c r="B14" s="100" t="s">
        <v>122</v>
      </c>
      <c r="C14" s="55" t="s">
        <v>56</v>
      </c>
      <c r="D14" s="55">
        <v>4</v>
      </c>
      <c r="E14" s="56" t="s">
        <v>236</v>
      </c>
      <c r="F14" s="55">
        <v>1</v>
      </c>
      <c r="G14" s="56" t="s">
        <v>237</v>
      </c>
      <c r="H14" s="55"/>
      <c r="I14" s="64"/>
      <c r="J14" s="57" t="str">
        <f t="shared" si="9"/>
        <v>CEL</v>
      </c>
      <c r="K14" s="57" t="str">
        <f t="shared" si="10"/>
        <v>CEA50L1,5</v>
      </c>
      <c r="L14" s="57" t="str">
        <f xml:space="preserve">
IF(OR('Dados da OS'!$D$8=Parâmetros!$B$3,'Dados da OS'!$D$8=Parâmetros!$B$4),
  IF(OR(ISBLANK(D14),ISBLANK(F14)),
     IF(OR(B14="ALI",B14="AIE"),"L",IF(ISBLANK(B14),"","A")),
     IF(B14="EE",IF(F14&gt;=3,IF(D14&gt;=5,"H","A"),
     IF(F14&gt;=2,IF(D14&gt;=16,"H",IF(D14&lt;=4,"L","A")),IF(D14&lt;=15,"L","A"))),
     IF(OR(B14="SE",B14="CE"),IF(F14&gt;=4,IF(D14&gt;=6,"H","A"),IF(F14&gt;=2,IF(D14&gt;=20,"H",IF(D14&lt;=5,"L","A")),IF(D14&lt;=19,"L","A"))),
     IF(OR(B14="ALI",B14="AIE"),IF(F14&gt;=6,IF(D14&gt;=20,"H","A"),IF(F14&gt;=2,IF(D14&gt;=51,"H",IF(D14&lt;=19,"L","A")),IF(D14&lt;=50,"L","A"))))))),
IF('Dados da OS'!$D$8=Parâmetros!$B$6,"Indicativa",
IF('Dados da OS'!$D$8=Parâmetros!$B$5,"PFS","")))</f>
        <v>L</v>
      </c>
      <c r="M14" s="57">
        <f>IFERROR(VLOOKUP(C14,'Fatores de Impacto e INMs'!$A$3:$D$32,3,0),1)</f>
        <v>0.5</v>
      </c>
      <c r="N14" s="57" t="str">
        <f>IFERROR(VLOOKUP(C14,'Fatores de Impacto e INMs'!$A$3:$E$32,5,0),1)</f>
        <v>VP</v>
      </c>
      <c r="O14" s="63" t="str">
        <f xml:space="preserve">
IF(OR('Dados da OS'!$D$8="Selecione o tipo da contagem",ISBLANK('Dados da OS'!$D$8),B14="INM",B14="N/A",ISBLANK(B14),ISBLANK(C14),N14="VF"),"-",
   IF('Dados da OS'!$D$8=Parâmetros!$B$3,
      IF(OR(ISBLANK(D14),ISBLANK(F14)),"-",
         IF(L14="L","Baixa",IF(L14="A","Média",IF(L14="H","Alta","-")))),
      IF('Dados da OS'!$D$8=Parâmetros!$B$4,
         IF(OR(B14="ALI",B14="AIE"),"Baixa",IF(OR(B14="EE",B14="SE",B14="CE"),"Média","-")),
         IF(OR('Dados da OS'!$D$8=Parâmetros!$B$5,'Dados da OS'!$D$8=Parâmetros!$B$6),"-"))))</f>
        <v>Baixa</v>
      </c>
      <c r="P14" s="59">
        <f xml:space="preserve">
IF(OR(ISBLANK(B14),ISBLANK(C14),B14="N/A",ISBLANK('Dados da OS'!$D$8)),"",
   IF(OR('Dados da OS'!$D$8=Parâmetros!$B$3,'Dados da OS'!$D$8=Parâmetros!$B$4),
      IF(OR(AND(B14="INM",N14&lt;&gt;"VF"),AND(N14="VF",B14&lt;&gt;"INM")),"",
        IF(AND(B14="INM",N14="VF"),IF(ISBLANK(H14),"",M14*H14),
        IF('Dados da OS'!$D$8=Parâmetros!$B$4,
           IF(OR(B14="CE",B14="EE"),4,IF(B14="SE",5,IF(B14="ALI",7,IF(B14="AIE",5,"")))),
        IF('Dados da OS'!$D$8=Parâmetros!$B$3,
           IF(OR(ISBLANK(D14),ISBLANK(F14)),"",
              IF(B14="ALI",IF(L14="L",7,IF(L14="A",10,15)),
                 IF(B14="AIE",IF(L14="L",5,IF(L14="A",7,10)),
                    IF(B14="SE",IF(L14="L",4,IF(L14="A",5,7)),
                       IF(OR(B14="EE",B14="CE"),IF(L14="L",3,IF(L14="A",4,6)),""))))))))),
   IF('Dados da OS'!$D$8=Parâmetros!$B$5,
      IF(OR(AND(B14="INM",N14&lt;&gt;"VF"),AND(N14="VF",B14&lt;&gt;"INM")),"",
         IF(B14="INM",IF(N14="VF",M14*H14,""),
            IF(B14="PE",4.6,
            IF(B14="AL",7,"")))),
   IF('Dados da OS'!$D$8=Parâmetros!$B$6,
      IF(B14="ALI",35,IF(B14="AIE",15,"")),""))
    )
)</f>
        <v>3</v>
      </c>
      <c r="Q14" s="60">
        <f t="shared" si="5"/>
        <v>1.5</v>
      </c>
      <c r="R14" s="61"/>
      <c r="S14" s="62" t="s">
        <v>323</v>
      </c>
      <c r="T14" s="80" t="s">
        <v>21</v>
      </c>
      <c r="U14" s="215" t="s">
        <v>214</v>
      </c>
      <c r="V14" s="99" t="s">
        <v>122</v>
      </c>
      <c r="W14" s="55" t="s">
        <v>56</v>
      </c>
      <c r="X14" s="55">
        <v>4</v>
      </c>
      <c r="Y14" s="56" t="s">
        <v>236</v>
      </c>
      <c r="Z14" s="55">
        <v>1</v>
      </c>
      <c r="AA14" s="56" t="s">
        <v>237</v>
      </c>
      <c r="AB14" s="55"/>
      <c r="AC14" s="57" t="str">
        <f t="shared" si="6"/>
        <v>CEL</v>
      </c>
      <c r="AD14" s="57" t="str">
        <f t="shared" si="7"/>
        <v>CEA50L1,5</v>
      </c>
      <c r="AE14" s="57" t="str">
        <f xml:space="preserve">
IF(OR('Dados da OS'!$D$8=Parâmetros!$B$3,'Dados da OS'!$D$8=Parâmetros!$B$4),
  IF(OR(ISBLANK(X14),ISBLANK(Z14)),
     IF(OR(V14="ALI",V14="AIE"),"L",IF(ISBLANK(V14),"","A")),
     IF(V14="EE",IF(Z14&gt;=3,IF(X14&gt;=5,"H","A"),
     IF(Z14&gt;=2,IF(X14&gt;=16,"H",IF(X14&lt;=4,"L","A")),IF(X14&lt;=15,"L","A"))),
     IF(OR(V14="SE",V14="CE"),IF(Z14&gt;=4,IF(X14&gt;=6,"H","A"),IF(Z14&gt;=2,IF(X14&gt;=20,"H",IF(X14&lt;=5,"L","A")),IF(X14&lt;=19,"L","A"))),
     IF(OR(V14="ALI",V14="AIE"),IF(Z14&gt;=6,IF(X14&gt;=20,"H","A"),IF(Z14&gt;=2,IF(X14&gt;=51,"H",IF(X14&lt;=19,"L","A")),IF(X14&lt;=50,"L","A"))))))),
IF('Dados da OS'!$D$8=Parâmetros!$B$6,"Indicativa",
IF('Dados da OS'!$D$8=Parâmetros!$B$5,"PFS","")))</f>
        <v>L</v>
      </c>
      <c r="AF14" s="57">
        <f>IFERROR(VLOOKUP(W14,'Fatores de Impacto e INMs'!$A$3:$D$32,3,0),1)</f>
        <v>0.5</v>
      </c>
      <c r="AG14" s="57" t="str">
        <f>IFERROR(VLOOKUP(W14,'Fatores de Impacto e INMs'!$A$3:$E$32,5,0),1)</f>
        <v>VP</v>
      </c>
      <c r="AH14" s="82" t="str">
        <f xml:space="preserve">
IF(OR('Dados da OS'!$D$8="Selecione o tipo da contagem",ISBLANK('Dados da OS'!$D$8),V14="INM",V14="N/A",ISBLANK(V14),ISBLANK(W14),AG14="VF"),"-",
   IF('Dados da OS'!$D$8=Parâmetros!$B$3,
      IF(OR(ISBLANK(X14),ISBLANK(Z14)),"-",
         IF(AE14="L","Baixa",IF(AE14="A","Média",IF(AE14="H","Alta","-")))),
      IF('Dados da OS'!$D$8=Parâmetros!$B$4,
         IF(OR(V14="ALI",V14="AIE"),"Baixa",IF(OR(V14="EE",V14="SE",V14="CE"),"Média","-")),
         IF(OR('Dados da OS'!$D$8=Parâmetros!$B$5,'Dados da OS'!$D$8=Parâmetros!$B$6),"-"))))</f>
        <v>Baixa</v>
      </c>
      <c r="AI14" s="83">
        <f xml:space="preserve">
IF(OR(ISBLANK(V14),ISBLANK(U14),ISBLANK(W14),V14="N/A",ISBLANK('Dados da OS'!$D$8)),"",
   IF(OR('Dados da OS'!$D$8=Parâmetros!$B$3,'Dados da OS'!$D$8=Parâmetros!$B$4),
      IF(OR(AND(V14="INM",AG14&lt;&gt;"VF"),AND(AG14="VF",V14&lt;&gt;"INM")),"",
        IF(AND(V14="INM",AG14="VF"),IF(ISBLANK(AB14),"",AF14*AB14),
        IF('Dados da OS'!$D$8=Parâmetros!$B$4,
           IF(OR(V14="CE",V14="EE"),4,IF(V14="SE",5,IF(V14="ALI",7,IF(V14="AIE",5,"")))),
        IF('Dados da OS'!$D$8=Parâmetros!$B$3,
           IF(OR(ISBLANK(X14),ISBLANK(Z14)),"",
              IF(V14="ALI",IF(AE14="L",7,IF(AE14="A",10,15)),
                 IF(V14="AIE",IF(AE14="L",5,IF(AE14="A",7,10)),
                    IF(V14="SE",IF(AE14="L",4,IF(AE14="A",5,7)),
                       IF(OR(V14="EE",V14="CE"),IF(AE14="L",3,IF(AE14="A",4,6)),""))))))))),
   IF('Dados da OS'!$D$8=Parâmetros!$B$5,
      IF(OR(AND(V14="INM",AG14&lt;&gt;"VF"),AND(AG14="VF",V14&lt;&gt;"INM")),"",
         IF(V14="INM",IF(AG14="VF",AF14*AB14,""),
            IF(V14="PE",4.6,
            IF(V14="AL",7,"")))),
   IF('Dados da OS'!$D$8=Parâmetros!$B$6,
      IF(V14="ALI",35,IF(V14="AIE",15,"")),""))
    )
)</f>
        <v>3</v>
      </c>
      <c r="AJ14" s="82">
        <f t="shared" si="8"/>
        <v>1.5</v>
      </c>
      <c r="AK14" s="84"/>
      <c r="AL14" s="85" t="s">
        <v>21</v>
      </c>
      <c r="AM14" s="86"/>
      <c r="AN14" s="85"/>
      <c r="AO14" s="87"/>
      <c r="AP14" s="85"/>
      <c r="AQ14" s="86"/>
      <c r="AR14" s="85"/>
    </row>
    <row r="15" spans="1:44" ht="15.75" customHeight="1">
      <c r="A15" s="54" t="s">
        <v>238</v>
      </c>
      <c r="B15" s="100" t="s">
        <v>121</v>
      </c>
      <c r="C15" s="55" t="s">
        <v>56</v>
      </c>
      <c r="D15" s="55">
        <v>4</v>
      </c>
      <c r="E15" s="56" t="s">
        <v>236</v>
      </c>
      <c r="F15" s="55">
        <v>1</v>
      </c>
      <c r="G15" s="56" t="s">
        <v>237</v>
      </c>
      <c r="H15" s="55"/>
      <c r="I15" s="64"/>
      <c r="J15" s="57" t="str">
        <f t="shared" si="9"/>
        <v>EEL</v>
      </c>
      <c r="K15" s="57" t="str">
        <f t="shared" si="10"/>
        <v>EEA50L1,5</v>
      </c>
      <c r="L15" s="57" t="str">
        <f xml:space="preserve">
IF(OR('Dados da OS'!$D$8=Parâmetros!$B$3,'Dados da OS'!$D$8=Parâmetros!$B$4),
  IF(OR(ISBLANK(D15),ISBLANK(F15)),
     IF(OR(B15="ALI",B15="AIE"),"L",IF(ISBLANK(B15),"","A")),
     IF(B15="EE",IF(F15&gt;=3,IF(D15&gt;=5,"H","A"),
     IF(F15&gt;=2,IF(D15&gt;=16,"H",IF(D15&lt;=4,"L","A")),IF(D15&lt;=15,"L","A"))),
     IF(OR(B15="SE",B15="CE"),IF(F15&gt;=4,IF(D15&gt;=6,"H","A"),IF(F15&gt;=2,IF(D15&gt;=20,"H",IF(D15&lt;=5,"L","A")),IF(D15&lt;=19,"L","A"))),
     IF(OR(B15="ALI",B15="AIE"),IF(F15&gt;=6,IF(D15&gt;=20,"H","A"),IF(F15&gt;=2,IF(D15&gt;=51,"H",IF(D15&lt;=19,"L","A")),IF(D15&lt;=50,"L","A"))))))),
IF('Dados da OS'!$D$8=Parâmetros!$B$6,"Indicativa",
IF('Dados da OS'!$D$8=Parâmetros!$B$5,"PFS","")))</f>
        <v>L</v>
      </c>
      <c r="M15" s="57">
        <f>IFERROR(VLOOKUP(C15,'Fatores de Impacto e INMs'!$A$3:$D$32,3,0),1)</f>
        <v>0.5</v>
      </c>
      <c r="N15" s="57" t="str">
        <f>IFERROR(VLOOKUP(C15,'Fatores de Impacto e INMs'!$A$3:$E$32,5,0),1)</f>
        <v>VP</v>
      </c>
      <c r="O15" s="63" t="str">
        <f xml:space="preserve">
IF(OR('Dados da OS'!$D$8="Selecione o tipo da contagem",ISBLANK('Dados da OS'!$D$8),B15="INM",B15="N/A",ISBLANK(B15),ISBLANK(C15),N15="VF"),"-",
   IF('Dados da OS'!$D$8=Parâmetros!$B$3,
      IF(OR(ISBLANK(D15),ISBLANK(F15)),"-",
         IF(L15="L","Baixa",IF(L15="A","Média",IF(L15="H","Alta","-")))),
      IF('Dados da OS'!$D$8=Parâmetros!$B$4,
         IF(OR(B15="ALI",B15="AIE"),"Baixa",IF(OR(B15="EE",B15="SE",B15="CE"),"Média","-")),
         IF(OR('Dados da OS'!$D$8=Parâmetros!$B$5,'Dados da OS'!$D$8=Parâmetros!$B$6),"-"))))</f>
        <v>Baixa</v>
      </c>
      <c r="P15" s="59">
        <f xml:space="preserve">
IF(OR(ISBLANK(B15),ISBLANK(C15),B15="N/A",ISBLANK('Dados da OS'!$D$8)),"",
   IF(OR('Dados da OS'!$D$8=Parâmetros!$B$3,'Dados da OS'!$D$8=Parâmetros!$B$4),
      IF(OR(AND(B15="INM",N15&lt;&gt;"VF"),AND(N15="VF",B15&lt;&gt;"INM")),"",
        IF(AND(B15="INM",N15="VF"),IF(ISBLANK(H15),"",M15*H15),
        IF('Dados da OS'!$D$8=Parâmetros!$B$4,
           IF(OR(B15="CE",B15="EE"),4,IF(B15="SE",5,IF(B15="ALI",7,IF(B15="AIE",5,"")))),
        IF('Dados da OS'!$D$8=Parâmetros!$B$3,
           IF(OR(ISBLANK(D15),ISBLANK(F15)),"",
              IF(B15="ALI",IF(L15="L",7,IF(L15="A",10,15)),
                 IF(B15="AIE",IF(L15="L",5,IF(L15="A",7,10)),
                    IF(B15="SE",IF(L15="L",4,IF(L15="A",5,7)),
                       IF(OR(B15="EE",B15="CE"),IF(L15="L",3,IF(L15="A",4,6)),""))))))))),
   IF('Dados da OS'!$D$8=Parâmetros!$B$5,
      IF(OR(AND(B15="INM",N15&lt;&gt;"VF"),AND(N15="VF",B15&lt;&gt;"INM")),"",
         IF(B15="INM",IF(N15="VF",M15*H15,""),
            IF(B15="PE",4.6,
            IF(B15="AL",7,"")))),
   IF('Dados da OS'!$D$8=Parâmetros!$B$6,
      IF(B15="ALI",35,IF(B15="AIE",15,"")),""))
    )
)</f>
        <v>3</v>
      </c>
      <c r="Q15" s="60">
        <f t="shared" si="5"/>
        <v>1.5</v>
      </c>
      <c r="R15" s="61"/>
      <c r="S15" s="62" t="s">
        <v>323</v>
      </c>
      <c r="T15" s="80" t="s">
        <v>21</v>
      </c>
      <c r="U15" s="215" t="s">
        <v>214</v>
      </c>
      <c r="V15" s="99" t="s">
        <v>121</v>
      </c>
      <c r="W15" s="55" t="s">
        <v>56</v>
      </c>
      <c r="X15" s="55">
        <v>4</v>
      </c>
      <c r="Y15" s="56" t="s">
        <v>236</v>
      </c>
      <c r="Z15" s="55">
        <v>1</v>
      </c>
      <c r="AA15" s="56" t="s">
        <v>237</v>
      </c>
      <c r="AB15" s="55"/>
      <c r="AC15" s="57" t="str">
        <f t="shared" si="6"/>
        <v>EEL</v>
      </c>
      <c r="AD15" s="57" t="str">
        <f t="shared" si="7"/>
        <v>EEA50L1,5</v>
      </c>
      <c r="AE15" s="57" t="str">
        <f xml:space="preserve">
IF(OR('Dados da OS'!$D$8=Parâmetros!$B$3,'Dados da OS'!$D$8=Parâmetros!$B$4),
  IF(OR(ISBLANK(X15),ISBLANK(Z15)),
     IF(OR(V15="ALI",V15="AIE"),"L",IF(ISBLANK(V15),"","A")),
     IF(V15="EE",IF(Z15&gt;=3,IF(X15&gt;=5,"H","A"),
     IF(Z15&gt;=2,IF(X15&gt;=16,"H",IF(X15&lt;=4,"L","A")),IF(X15&lt;=15,"L","A"))),
     IF(OR(V15="SE",V15="CE"),IF(Z15&gt;=4,IF(X15&gt;=6,"H","A"),IF(Z15&gt;=2,IF(X15&gt;=20,"H",IF(X15&lt;=5,"L","A")),IF(X15&lt;=19,"L","A"))),
     IF(OR(V15="ALI",V15="AIE"),IF(Z15&gt;=6,IF(X15&gt;=20,"H","A"),IF(Z15&gt;=2,IF(X15&gt;=51,"H",IF(X15&lt;=19,"L","A")),IF(X15&lt;=50,"L","A"))))))),
IF('Dados da OS'!$D$8=Parâmetros!$B$6,"Indicativa",
IF('Dados da OS'!$D$8=Parâmetros!$B$5,"PFS","")))</f>
        <v>L</v>
      </c>
      <c r="AF15" s="57">
        <f>IFERROR(VLOOKUP(W15,'Fatores de Impacto e INMs'!$A$3:$D$32,3,0),1)</f>
        <v>0.5</v>
      </c>
      <c r="AG15" s="57" t="str">
        <f>IFERROR(VLOOKUP(W15,'Fatores de Impacto e INMs'!$A$3:$E$32,5,0),1)</f>
        <v>VP</v>
      </c>
      <c r="AH15" s="82" t="str">
        <f xml:space="preserve">
IF(OR('Dados da OS'!$D$8="Selecione o tipo da contagem",ISBLANK('Dados da OS'!$D$8),V15="INM",V15="N/A",ISBLANK(V15),ISBLANK(W15),AG15="VF"),"-",
   IF('Dados da OS'!$D$8=Parâmetros!$B$3,
      IF(OR(ISBLANK(X15),ISBLANK(Z15)),"-",
         IF(AE15="L","Baixa",IF(AE15="A","Média",IF(AE15="H","Alta","-")))),
      IF('Dados da OS'!$D$8=Parâmetros!$B$4,
         IF(OR(V15="ALI",V15="AIE"),"Baixa",IF(OR(V15="EE",V15="SE",V15="CE"),"Média","-")),
         IF(OR('Dados da OS'!$D$8=Parâmetros!$B$5,'Dados da OS'!$D$8=Parâmetros!$B$6),"-"))))</f>
        <v>Baixa</v>
      </c>
      <c r="AI15" s="83">
        <f xml:space="preserve">
IF(OR(ISBLANK(V15),ISBLANK(U15),ISBLANK(W15),V15="N/A",ISBLANK('Dados da OS'!$D$8)),"",
   IF(OR('Dados da OS'!$D$8=Parâmetros!$B$3,'Dados da OS'!$D$8=Parâmetros!$B$4),
      IF(OR(AND(V15="INM",AG15&lt;&gt;"VF"),AND(AG15="VF",V15&lt;&gt;"INM")),"",
        IF(AND(V15="INM",AG15="VF"),IF(ISBLANK(AB15),"",AF15*AB15),
        IF('Dados da OS'!$D$8=Parâmetros!$B$4,
           IF(OR(V15="CE",V15="EE"),4,IF(V15="SE",5,IF(V15="ALI",7,IF(V15="AIE",5,"")))),
        IF('Dados da OS'!$D$8=Parâmetros!$B$3,
           IF(OR(ISBLANK(X15),ISBLANK(Z15)),"",
              IF(V15="ALI",IF(AE15="L",7,IF(AE15="A",10,15)),
                 IF(V15="AIE",IF(AE15="L",5,IF(AE15="A",7,10)),
                    IF(V15="SE",IF(AE15="L",4,IF(AE15="A",5,7)),
                       IF(OR(V15="EE",V15="CE"),IF(AE15="L",3,IF(AE15="A",4,6)),""))))))))),
   IF('Dados da OS'!$D$8=Parâmetros!$B$5,
      IF(OR(AND(V15="INM",AG15&lt;&gt;"VF"),AND(AG15="VF",V15&lt;&gt;"INM")),"",
         IF(V15="INM",IF(AG15="VF",AF15*AB15,""),
            IF(V15="PE",4.6,
            IF(V15="AL",7,"")))),
   IF('Dados da OS'!$D$8=Parâmetros!$B$6,
      IF(V15="ALI",35,IF(V15="AIE",15,"")),""))
    )
)</f>
        <v>3</v>
      </c>
      <c r="AJ15" s="82">
        <f t="shared" si="8"/>
        <v>1.5</v>
      </c>
      <c r="AK15" s="84"/>
      <c r="AL15" s="85" t="s">
        <v>21</v>
      </c>
      <c r="AM15" s="86"/>
      <c r="AN15" s="85"/>
      <c r="AO15" s="87"/>
      <c r="AP15" s="85"/>
      <c r="AQ15" s="86"/>
      <c r="AR15" s="85"/>
    </row>
    <row r="16" spans="1:44" ht="15.75" customHeight="1">
      <c r="A16" s="54" t="s">
        <v>239</v>
      </c>
      <c r="B16" s="100" t="s">
        <v>121</v>
      </c>
      <c r="C16" s="55" t="s">
        <v>56</v>
      </c>
      <c r="D16" s="55">
        <v>4</v>
      </c>
      <c r="E16" s="56" t="s">
        <v>236</v>
      </c>
      <c r="F16" s="55">
        <v>1</v>
      </c>
      <c r="G16" s="56" t="s">
        <v>237</v>
      </c>
      <c r="H16" s="55"/>
      <c r="I16" s="64"/>
      <c r="J16" s="57" t="str">
        <f t="shared" si="9"/>
        <v>EEL</v>
      </c>
      <c r="K16" s="57" t="str">
        <f t="shared" si="10"/>
        <v>EEA50L1,5</v>
      </c>
      <c r="L16" s="57" t="str">
        <f xml:space="preserve">
IF(OR('Dados da OS'!$D$8=Parâmetros!$B$3,'Dados da OS'!$D$8=Parâmetros!$B$4),
  IF(OR(ISBLANK(D16),ISBLANK(F16)),
     IF(OR(B16="ALI",B16="AIE"),"L",IF(ISBLANK(B16),"","A")),
     IF(B16="EE",IF(F16&gt;=3,IF(D16&gt;=5,"H","A"),
     IF(F16&gt;=2,IF(D16&gt;=16,"H",IF(D16&lt;=4,"L","A")),IF(D16&lt;=15,"L","A"))),
     IF(OR(B16="SE",B16="CE"),IF(F16&gt;=4,IF(D16&gt;=6,"H","A"),IF(F16&gt;=2,IF(D16&gt;=20,"H",IF(D16&lt;=5,"L","A")),IF(D16&lt;=19,"L","A"))),
     IF(OR(B16="ALI",B16="AIE"),IF(F16&gt;=6,IF(D16&gt;=20,"H","A"),IF(F16&gt;=2,IF(D16&gt;=51,"H",IF(D16&lt;=19,"L","A")),IF(D16&lt;=50,"L","A"))))))),
IF('Dados da OS'!$D$8=Parâmetros!$B$6,"Indicativa",
IF('Dados da OS'!$D$8=Parâmetros!$B$5,"PFS","")))</f>
        <v>L</v>
      </c>
      <c r="M16" s="57">
        <f>IFERROR(VLOOKUP(C16,'Fatores de Impacto e INMs'!$A$3:$D$32,3,0),1)</f>
        <v>0.5</v>
      </c>
      <c r="N16" s="57" t="str">
        <f>IFERROR(VLOOKUP(C16,'Fatores de Impacto e INMs'!$A$3:$E$32,5,0),1)</f>
        <v>VP</v>
      </c>
      <c r="O16" s="63" t="str">
        <f xml:space="preserve">
IF(OR('Dados da OS'!$D$8="Selecione o tipo da contagem",ISBLANK('Dados da OS'!$D$8),B16="INM",B16="N/A",ISBLANK(B16),ISBLANK(C16),N16="VF"),"-",
   IF('Dados da OS'!$D$8=Parâmetros!$B$3,
      IF(OR(ISBLANK(D16),ISBLANK(F16)),"-",
         IF(L16="L","Baixa",IF(L16="A","Média",IF(L16="H","Alta","-")))),
      IF('Dados da OS'!$D$8=Parâmetros!$B$4,
         IF(OR(B16="ALI",B16="AIE"),"Baixa",IF(OR(B16="EE",B16="SE",B16="CE"),"Média","-")),
         IF(OR('Dados da OS'!$D$8=Parâmetros!$B$5,'Dados da OS'!$D$8=Parâmetros!$B$6),"-"))))</f>
        <v>Baixa</v>
      </c>
      <c r="P16" s="59">
        <f xml:space="preserve">
IF(OR(ISBLANK(B16),ISBLANK(C16),B16="N/A",ISBLANK('Dados da OS'!$D$8)),"",
   IF(OR('Dados da OS'!$D$8=Parâmetros!$B$3,'Dados da OS'!$D$8=Parâmetros!$B$4),
      IF(OR(AND(B16="INM",N16&lt;&gt;"VF"),AND(N16="VF",B16&lt;&gt;"INM")),"",
        IF(AND(B16="INM",N16="VF"),IF(ISBLANK(H16),"",M16*H16),
        IF('Dados da OS'!$D$8=Parâmetros!$B$4,
           IF(OR(B16="CE",B16="EE"),4,IF(B16="SE",5,IF(B16="ALI",7,IF(B16="AIE",5,"")))),
        IF('Dados da OS'!$D$8=Parâmetros!$B$3,
           IF(OR(ISBLANK(D16),ISBLANK(F16)),"",
              IF(B16="ALI",IF(L16="L",7,IF(L16="A",10,15)),
                 IF(B16="AIE",IF(L16="L",5,IF(L16="A",7,10)),
                    IF(B16="SE",IF(L16="L",4,IF(L16="A",5,7)),
                       IF(OR(B16="EE",B16="CE"),IF(L16="L",3,IF(L16="A",4,6)),""))))))))),
   IF('Dados da OS'!$D$8=Parâmetros!$B$5,
      IF(OR(AND(B16="INM",N16&lt;&gt;"VF"),AND(N16="VF",B16&lt;&gt;"INM")),"",
         IF(B16="INM",IF(N16="VF",M16*H16,""),
            IF(B16="PE",4.6,
            IF(B16="AL",7,"")))),
   IF('Dados da OS'!$D$8=Parâmetros!$B$6,
      IF(B16="ALI",35,IF(B16="AIE",15,"")),""))
    )
)</f>
        <v>3</v>
      </c>
      <c r="Q16" s="60">
        <f t="shared" si="5"/>
        <v>1.5</v>
      </c>
      <c r="R16" s="61"/>
      <c r="S16" s="62" t="s">
        <v>323</v>
      </c>
      <c r="T16" s="80" t="s">
        <v>21</v>
      </c>
      <c r="U16" s="215" t="s">
        <v>214</v>
      </c>
      <c r="V16" s="99" t="s">
        <v>121</v>
      </c>
      <c r="W16" s="55" t="s">
        <v>56</v>
      </c>
      <c r="X16" s="55">
        <v>4</v>
      </c>
      <c r="Y16" s="56" t="s">
        <v>236</v>
      </c>
      <c r="Z16" s="55">
        <v>1</v>
      </c>
      <c r="AA16" s="56" t="s">
        <v>237</v>
      </c>
      <c r="AB16" s="55"/>
      <c r="AC16" s="57" t="str">
        <f t="shared" si="6"/>
        <v>EEL</v>
      </c>
      <c r="AD16" s="57" t="str">
        <f t="shared" si="7"/>
        <v>EEA50L1,5</v>
      </c>
      <c r="AE16" s="57" t="str">
        <f xml:space="preserve">
IF(OR('Dados da OS'!$D$8=Parâmetros!$B$3,'Dados da OS'!$D$8=Parâmetros!$B$4),
  IF(OR(ISBLANK(X16),ISBLANK(Z16)),
     IF(OR(V16="ALI",V16="AIE"),"L",IF(ISBLANK(V16),"","A")),
     IF(V16="EE",IF(Z16&gt;=3,IF(X16&gt;=5,"H","A"),
     IF(Z16&gt;=2,IF(X16&gt;=16,"H",IF(X16&lt;=4,"L","A")),IF(X16&lt;=15,"L","A"))),
     IF(OR(V16="SE",V16="CE"),IF(Z16&gt;=4,IF(X16&gt;=6,"H","A"),IF(Z16&gt;=2,IF(X16&gt;=20,"H",IF(X16&lt;=5,"L","A")),IF(X16&lt;=19,"L","A"))),
     IF(OR(V16="ALI",V16="AIE"),IF(Z16&gt;=6,IF(X16&gt;=20,"H","A"),IF(Z16&gt;=2,IF(X16&gt;=51,"H",IF(X16&lt;=19,"L","A")),IF(X16&lt;=50,"L","A"))))))),
IF('Dados da OS'!$D$8=Parâmetros!$B$6,"Indicativa",
IF('Dados da OS'!$D$8=Parâmetros!$B$5,"PFS","")))</f>
        <v>L</v>
      </c>
      <c r="AF16" s="57">
        <f>IFERROR(VLOOKUP(W16,'Fatores de Impacto e INMs'!$A$3:$D$32,3,0),1)</f>
        <v>0.5</v>
      </c>
      <c r="AG16" s="57" t="str">
        <f>IFERROR(VLOOKUP(W16,'Fatores de Impacto e INMs'!$A$3:$E$32,5,0),1)</f>
        <v>VP</v>
      </c>
      <c r="AH16" s="82" t="str">
        <f xml:space="preserve">
IF(OR('Dados da OS'!$D$8="Selecione o tipo da contagem",ISBLANK('Dados da OS'!$D$8),V16="INM",V16="N/A",ISBLANK(V16),ISBLANK(W16),AG16="VF"),"-",
   IF('Dados da OS'!$D$8=Parâmetros!$B$3,
      IF(OR(ISBLANK(X16),ISBLANK(Z16)),"-",
         IF(AE16="L","Baixa",IF(AE16="A","Média",IF(AE16="H","Alta","-")))),
      IF('Dados da OS'!$D$8=Parâmetros!$B$4,
         IF(OR(V16="ALI",V16="AIE"),"Baixa",IF(OR(V16="EE",V16="SE",V16="CE"),"Média","-")),
         IF(OR('Dados da OS'!$D$8=Parâmetros!$B$5,'Dados da OS'!$D$8=Parâmetros!$B$6),"-"))))</f>
        <v>Baixa</v>
      </c>
      <c r="AI16" s="83">
        <f xml:space="preserve">
IF(OR(ISBLANK(V16),ISBLANK(U16),ISBLANK(W16),V16="N/A",ISBLANK('Dados da OS'!$D$8)),"",
   IF(OR('Dados da OS'!$D$8=Parâmetros!$B$3,'Dados da OS'!$D$8=Parâmetros!$B$4),
      IF(OR(AND(V16="INM",AG16&lt;&gt;"VF"),AND(AG16="VF",V16&lt;&gt;"INM")),"",
        IF(AND(V16="INM",AG16="VF"),IF(ISBLANK(AB16),"",AF16*AB16),
        IF('Dados da OS'!$D$8=Parâmetros!$B$4,
           IF(OR(V16="CE",V16="EE"),4,IF(V16="SE",5,IF(V16="ALI",7,IF(V16="AIE",5,"")))),
        IF('Dados da OS'!$D$8=Parâmetros!$B$3,
           IF(OR(ISBLANK(X16),ISBLANK(Z16)),"",
              IF(V16="ALI",IF(AE16="L",7,IF(AE16="A",10,15)),
                 IF(V16="AIE",IF(AE16="L",5,IF(AE16="A",7,10)),
                    IF(V16="SE",IF(AE16="L",4,IF(AE16="A",5,7)),
                       IF(OR(V16="EE",V16="CE"),IF(AE16="L",3,IF(AE16="A",4,6)),""))))))))),
   IF('Dados da OS'!$D$8=Parâmetros!$B$5,
      IF(OR(AND(V16="INM",AG16&lt;&gt;"VF"),AND(AG16="VF",V16&lt;&gt;"INM")),"",
         IF(V16="INM",IF(AG16="VF",AF16*AB16,""),
            IF(V16="PE",4.6,
            IF(V16="AL",7,"")))),
   IF('Dados da OS'!$D$8=Parâmetros!$B$6,
      IF(V16="ALI",35,IF(V16="AIE",15,"")),""))
    )
)</f>
        <v>3</v>
      </c>
      <c r="AJ16" s="82">
        <f t="shared" si="8"/>
        <v>1.5</v>
      </c>
      <c r="AK16" s="84"/>
      <c r="AL16" s="85" t="s">
        <v>21</v>
      </c>
      <c r="AM16" s="86"/>
      <c r="AN16" s="85"/>
      <c r="AO16" s="87"/>
      <c r="AP16" s="85"/>
      <c r="AQ16" s="86"/>
      <c r="AR16" s="85"/>
    </row>
    <row r="17" spans="1:44" ht="15.75" customHeight="1">
      <c r="A17" s="54" t="s">
        <v>240</v>
      </c>
      <c r="B17" s="100"/>
      <c r="C17" s="55"/>
      <c r="D17" s="55"/>
      <c r="E17" s="56"/>
      <c r="F17" s="55"/>
      <c r="G17" s="56"/>
      <c r="H17" s="55"/>
      <c r="I17" s="64"/>
      <c r="J17" s="57" t="str">
        <f t="shared" si="9"/>
        <v/>
      </c>
      <c r="K17" s="57" t="str">
        <f t="shared" si="10"/>
        <v/>
      </c>
      <c r="L17" s="57" t="str">
        <f xml:space="preserve">
IF(OR('Dados da OS'!$D$8=Parâmetros!$B$3,'Dados da OS'!$D$8=Parâmetros!$B$4),
  IF(OR(ISBLANK(D17),ISBLANK(F17)),
     IF(OR(B17="ALI",B17="AIE"),"L",IF(ISBLANK(B17),"","A")),
     IF(B17="EE",IF(F17&gt;=3,IF(D17&gt;=5,"H","A"),
     IF(F17&gt;=2,IF(D17&gt;=16,"H",IF(D17&lt;=4,"L","A")),IF(D17&lt;=15,"L","A"))),
     IF(OR(B17="SE",B17="CE"),IF(F17&gt;=4,IF(D17&gt;=6,"H","A"),IF(F17&gt;=2,IF(D17&gt;=20,"H",IF(D17&lt;=5,"L","A")),IF(D17&lt;=19,"L","A"))),
     IF(OR(B17="ALI",B17="AIE"),IF(F17&gt;=6,IF(D17&gt;=20,"H","A"),IF(F17&gt;=2,IF(D17&gt;=51,"H",IF(D17&lt;=19,"L","A")),IF(D17&lt;=50,"L","A"))))))),
IF('Dados da OS'!$D$8=Parâmetros!$B$6,"Indicativa",
IF('Dados da OS'!$D$8=Parâmetros!$B$5,"PFS","")))</f>
        <v/>
      </c>
      <c r="M17" s="57">
        <f>IFERROR(VLOOKUP(C17,'Fatores de Impacto e INMs'!$A$3:$D$32,3,0),1)</f>
        <v>1</v>
      </c>
      <c r="N17" s="57">
        <f>IFERROR(VLOOKUP(C17,'Fatores de Impacto e INMs'!$A$3:$E$32,5,0),1)</f>
        <v>1</v>
      </c>
      <c r="O17" s="63" t="str">
        <f xml:space="preserve">
IF(OR('Dados da OS'!$D$8="Selecione o tipo da contagem",ISBLANK('Dados da OS'!$D$8),B17="INM",B17="N/A",ISBLANK(B17),ISBLANK(C17),N17="VF"),"-",
   IF('Dados da OS'!$D$8=Parâmetros!$B$3,
      IF(OR(ISBLANK(D17),ISBLANK(F17)),"-",
         IF(L17="L","Baixa",IF(L17="A","Média",IF(L17="H","Alta","-")))),
      IF('Dados da OS'!$D$8=Parâmetros!$B$4,
         IF(OR(B17="ALI",B17="AIE"),"Baixa",IF(OR(B17="EE",B17="SE",B17="CE"),"Média","-")),
         IF(OR('Dados da OS'!$D$8=Parâmetros!$B$5,'Dados da OS'!$D$8=Parâmetros!$B$6),"-"))))</f>
        <v>-</v>
      </c>
      <c r="P17" s="59" t="str">
        <f xml:space="preserve">
IF(OR(ISBLANK(B17),ISBLANK(C17),B17="N/A",ISBLANK('Dados da OS'!$D$8)),"",
   IF(OR('Dados da OS'!$D$8=Parâmetros!$B$3,'Dados da OS'!$D$8=Parâmetros!$B$4),
      IF(OR(AND(B17="INM",N17&lt;&gt;"VF"),AND(N17="VF",B17&lt;&gt;"INM")),"",
        IF(AND(B17="INM",N17="VF"),IF(ISBLANK(H17),"",M17*H17),
        IF('Dados da OS'!$D$8=Parâmetros!$B$4,
           IF(OR(B17="CE",B17="EE"),4,IF(B17="SE",5,IF(B17="ALI",7,IF(B17="AIE",5,"")))),
        IF('Dados da OS'!$D$8=Parâmetros!$B$3,
           IF(OR(ISBLANK(D17),ISBLANK(F17)),"",
              IF(B17="ALI",IF(L17="L",7,IF(L17="A",10,15)),
                 IF(B17="AIE",IF(L17="L",5,IF(L17="A",7,10)),
                    IF(B17="SE",IF(L17="L",4,IF(L17="A",5,7)),
                       IF(OR(B17="EE",B17="CE"),IF(L17="L",3,IF(L17="A",4,6)),""))))))))),
   IF('Dados da OS'!$D$8=Parâmetros!$B$5,
      IF(OR(AND(B17="INM",N17&lt;&gt;"VF"),AND(N17="VF",B17&lt;&gt;"INM")),"",
         IF(B17="INM",IF(N17="VF",M17*H17,""),
            IF(B17="PE",4.6,
            IF(B17="AL",7,"")))),
   IF('Dados da OS'!$D$8=Parâmetros!$B$6,
      IF(B17="ALI",35,IF(B17="AIE",15,"")),""))
    )
)</f>
        <v/>
      </c>
      <c r="Q17" s="60" t="str">
        <f t="shared" si="5"/>
        <v/>
      </c>
      <c r="R17" s="61"/>
      <c r="S17" s="62"/>
      <c r="T17" s="80" t="s">
        <v>21</v>
      </c>
      <c r="U17" s="215"/>
      <c r="V17" s="99"/>
      <c r="W17" s="55"/>
      <c r="X17" s="55"/>
      <c r="Y17" s="56"/>
      <c r="Z17" s="55"/>
      <c r="AA17" s="56"/>
      <c r="AB17" s="55"/>
      <c r="AC17" s="57" t="str">
        <f t="shared" si="6"/>
        <v/>
      </c>
      <c r="AD17" s="57" t="str">
        <f t="shared" si="7"/>
        <v/>
      </c>
      <c r="AE17" s="57" t="str">
        <f xml:space="preserve">
IF(OR('Dados da OS'!$D$8=Parâmetros!$B$3,'Dados da OS'!$D$8=Parâmetros!$B$4),
  IF(OR(ISBLANK(X17),ISBLANK(Z17)),
     IF(OR(V17="ALI",V17="AIE"),"L",IF(ISBLANK(V17),"","A")),
     IF(V17="EE",IF(Z17&gt;=3,IF(X17&gt;=5,"H","A"),
     IF(Z17&gt;=2,IF(X17&gt;=16,"H",IF(X17&lt;=4,"L","A")),IF(X17&lt;=15,"L","A"))),
     IF(OR(V17="SE",V17="CE"),IF(Z17&gt;=4,IF(X17&gt;=6,"H","A"),IF(Z17&gt;=2,IF(X17&gt;=20,"H",IF(X17&lt;=5,"L","A")),IF(X17&lt;=19,"L","A"))),
     IF(OR(V17="ALI",V17="AIE"),IF(Z17&gt;=6,IF(X17&gt;=20,"H","A"),IF(Z17&gt;=2,IF(X17&gt;=51,"H",IF(X17&lt;=19,"L","A")),IF(X17&lt;=50,"L","A"))))))),
IF('Dados da OS'!$D$8=Parâmetros!$B$6,"Indicativa",
IF('Dados da OS'!$D$8=Parâmetros!$B$5,"PFS","")))</f>
        <v/>
      </c>
      <c r="AF17" s="57">
        <f>IFERROR(VLOOKUP(W17,'Fatores de Impacto e INMs'!$A$3:$D$32,3,0),1)</f>
        <v>1</v>
      </c>
      <c r="AG17" s="57">
        <f>IFERROR(VLOOKUP(W17,'Fatores de Impacto e INMs'!$A$3:$E$32,5,0),1)</f>
        <v>1</v>
      </c>
      <c r="AH17" s="82" t="str">
        <f xml:space="preserve">
IF(OR('Dados da OS'!$D$8="Selecione o tipo da contagem",ISBLANK('Dados da OS'!$D$8),V17="INM",V17="N/A",ISBLANK(V17),ISBLANK(W17),AG17="VF"),"-",
   IF('Dados da OS'!$D$8=Parâmetros!$B$3,
      IF(OR(ISBLANK(X17),ISBLANK(Z17)),"-",
         IF(AE17="L","Baixa",IF(AE17="A","Média",IF(AE17="H","Alta","-")))),
      IF('Dados da OS'!$D$8=Parâmetros!$B$4,
         IF(OR(V17="ALI",V17="AIE"),"Baixa",IF(OR(V17="EE",V17="SE",V17="CE"),"Média","-")),
         IF(OR('Dados da OS'!$D$8=Parâmetros!$B$5,'Dados da OS'!$D$8=Parâmetros!$B$6),"-"))))</f>
        <v>-</v>
      </c>
      <c r="AI17" s="83" t="str">
        <f xml:space="preserve">
IF(OR(ISBLANK(V17),ISBLANK(U17),ISBLANK(W17),V17="N/A",ISBLANK('Dados da OS'!$D$8)),"",
   IF(OR('Dados da OS'!$D$8=Parâmetros!$B$3,'Dados da OS'!$D$8=Parâmetros!$B$4),
      IF(OR(AND(V17="INM",AG17&lt;&gt;"VF"),AND(AG17="VF",V17&lt;&gt;"INM")),"",
        IF(AND(V17="INM",AG17="VF"),IF(ISBLANK(AB17),"",AF17*AB17),
        IF('Dados da OS'!$D$8=Parâmetros!$B$4,
           IF(OR(V17="CE",V17="EE"),4,IF(V17="SE",5,IF(V17="ALI",7,IF(V17="AIE",5,"")))),
        IF('Dados da OS'!$D$8=Parâmetros!$B$3,
           IF(OR(ISBLANK(X17),ISBLANK(Z17)),"",
              IF(V17="ALI",IF(AE17="L",7,IF(AE17="A",10,15)),
                 IF(V17="AIE",IF(AE17="L",5,IF(AE17="A",7,10)),
                    IF(V17="SE",IF(AE17="L",4,IF(AE17="A",5,7)),
                       IF(OR(V17="EE",V17="CE"),IF(AE17="L",3,IF(AE17="A",4,6)),""))))))))),
   IF('Dados da OS'!$D$8=Parâmetros!$B$5,
      IF(OR(AND(V17="INM",AG17&lt;&gt;"VF"),AND(AG17="VF",V17&lt;&gt;"INM")),"",
         IF(V17="INM",IF(AG17="VF",AF17*AB17,""),
            IF(V17="PE",4.6,
            IF(V17="AL",7,"")))),
   IF('Dados da OS'!$D$8=Parâmetros!$B$6,
      IF(V17="ALI",35,IF(V17="AIE",15,"")),""))
    )
)</f>
        <v/>
      </c>
      <c r="AJ17" s="82" t="str">
        <f t="shared" si="8"/>
        <v/>
      </c>
      <c r="AK17" s="84"/>
      <c r="AL17" s="85" t="s">
        <v>21</v>
      </c>
      <c r="AM17" s="86"/>
      <c r="AN17" s="85"/>
      <c r="AO17" s="87"/>
      <c r="AP17" s="85"/>
      <c r="AQ17" s="86"/>
      <c r="AR17" s="85"/>
    </row>
    <row r="18" spans="1:44" ht="15.75" customHeight="1">
      <c r="A18" s="54" t="s">
        <v>241</v>
      </c>
      <c r="B18" s="100" t="s">
        <v>122</v>
      </c>
      <c r="C18" s="55" t="s">
        <v>56</v>
      </c>
      <c r="D18" s="55">
        <v>16</v>
      </c>
      <c r="E18" s="56" t="s">
        <v>242</v>
      </c>
      <c r="F18" s="55">
        <v>2</v>
      </c>
      <c r="G18" s="56" t="s">
        <v>243</v>
      </c>
      <c r="H18" s="55"/>
      <c r="I18" s="64"/>
      <c r="J18" s="57" t="str">
        <f t="shared" si="9"/>
        <v>CEA</v>
      </c>
      <c r="K18" s="57" t="str">
        <f t="shared" si="10"/>
        <v>CEA50A2</v>
      </c>
      <c r="L18" s="57" t="str">
        <f xml:space="preserve">
IF(OR('Dados da OS'!$D$8=Parâmetros!$B$3,'Dados da OS'!$D$8=Parâmetros!$B$4),
  IF(OR(ISBLANK(D18),ISBLANK(F18)),
     IF(OR(B18="ALI",B18="AIE"),"L",IF(ISBLANK(B18),"","A")),
     IF(B18="EE",IF(F18&gt;=3,IF(D18&gt;=5,"H","A"),
     IF(F18&gt;=2,IF(D18&gt;=16,"H",IF(D18&lt;=4,"L","A")),IF(D18&lt;=15,"L","A"))),
     IF(OR(B18="SE",B18="CE"),IF(F18&gt;=4,IF(D18&gt;=6,"H","A"),IF(F18&gt;=2,IF(D18&gt;=20,"H",IF(D18&lt;=5,"L","A")),IF(D18&lt;=19,"L","A"))),
     IF(OR(B18="ALI",B18="AIE"),IF(F18&gt;=6,IF(D18&gt;=20,"H","A"),IF(F18&gt;=2,IF(D18&gt;=51,"H",IF(D18&lt;=19,"L","A")),IF(D18&lt;=50,"L","A"))))))),
IF('Dados da OS'!$D$8=Parâmetros!$B$6,"Indicativa",
IF('Dados da OS'!$D$8=Parâmetros!$B$5,"PFS","")))</f>
        <v>A</v>
      </c>
      <c r="M18" s="57">
        <f>IFERROR(VLOOKUP(C18,'Fatores de Impacto e INMs'!$A$3:$D$32,3,0),1)</f>
        <v>0.5</v>
      </c>
      <c r="N18" s="57" t="str">
        <f>IFERROR(VLOOKUP(C18,'Fatores de Impacto e INMs'!$A$3:$E$32,5,0),1)</f>
        <v>VP</v>
      </c>
      <c r="O18" s="63" t="str">
        <f xml:space="preserve">
IF(OR('Dados da OS'!$D$8="Selecione o tipo da contagem",ISBLANK('Dados da OS'!$D$8),B18="INM",B18="N/A",ISBLANK(B18),ISBLANK(C18),N18="VF"),"-",
   IF('Dados da OS'!$D$8=Parâmetros!$B$3,
      IF(OR(ISBLANK(D18),ISBLANK(F18)),"-",
         IF(L18="L","Baixa",IF(L18="A","Média",IF(L18="H","Alta","-")))),
      IF('Dados da OS'!$D$8=Parâmetros!$B$4,
         IF(OR(B18="ALI",B18="AIE"),"Baixa",IF(OR(B18="EE",B18="SE",B18="CE"),"Média","-")),
         IF(OR('Dados da OS'!$D$8=Parâmetros!$B$5,'Dados da OS'!$D$8=Parâmetros!$B$6),"-"))))</f>
        <v>Média</v>
      </c>
      <c r="P18" s="59">
        <f xml:space="preserve">
IF(OR(ISBLANK(B18),ISBLANK(C18),B18="N/A",ISBLANK('Dados da OS'!$D$8)),"",
   IF(OR('Dados da OS'!$D$8=Parâmetros!$B$3,'Dados da OS'!$D$8=Parâmetros!$B$4),
      IF(OR(AND(B18="INM",N18&lt;&gt;"VF"),AND(N18="VF",B18&lt;&gt;"INM")),"",
        IF(AND(B18="INM",N18="VF"),IF(ISBLANK(H18),"",M18*H18),
        IF('Dados da OS'!$D$8=Parâmetros!$B$4,
           IF(OR(B18="CE",B18="EE"),4,IF(B18="SE",5,IF(B18="ALI",7,IF(B18="AIE",5,"")))),
        IF('Dados da OS'!$D$8=Parâmetros!$B$3,
           IF(OR(ISBLANK(D18),ISBLANK(F18)),"",
              IF(B18="ALI",IF(L18="L",7,IF(L18="A",10,15)),
                 IF(B18="AIE",IF(L18="L",5,IF(L18="A",7,10)),
                    IF(B18="SE",IF(L18="L",4,IF(L18="A",5,7)),
                       IF(OR(B18="EE",B18="CE"),IF(L18="L",3,IF(L18="A",4,6)),""))))))))),
   IF('Dados da OS'!$D$8=Parâmetros!$B$5,
      IF(OR(AND(B18="INM",N18&lt;&gt;"VF"),AND(N18="VF",B18&lt;&gt;"INM")),"",
         IF(B18="INM",IF(N18="VF",M18*H18,""),
            IF(B18="PE",4.6,
            IF(B18="AL",7,"")))),
   IF('Dados da OS'!$D$8=Parâmetros!$B$6,
      IF(B18="ALI",35,IF(B18="AIE",15,"")),""))
    )
)</f>
        <v>4</v>
      </c>
      <c r="Q18" s="60">
        <f t="shared" si="5"/>
        <v>2</v>
      </c>
      <c r="R18" s="61"/>
      <c r="S18" s="62" t="s">
        <v>324</v>
      </c>
      <c r="T18" s="80" t="s">
        <v>21</v>
      </c>
      <c r="U18" s="215" t="s">
        <v>214</v>
      </c>
      <c r="V18" s="99" t="s">
        <v>122</v>
      </c>
      <c r="W18" s="55" t="s">
        <v>56</v>
      </c>
      <c r="X18" s="55">
        <v>16</v>
      </c>
      <c r="Y18" s="56" t="s">
        <v>242</v>
      </c>
      <c r="Z18" s="55">
        <v>2</v>
      </c>
      <c r="AA18" s="56" t="s">
        <v>243</v>
      </c>
      <c r="AB18" s="55"/>
      <c r="AC18" s="57" t="str">
        <f t="shared" si="6"/>
        <v>CEA</v>
      </c>
      <c r="AD18" s="57" t="str">
        <f t="shared" si="7"/>
        <v>CEA50A2</v>
      </c>
      <c r="AE18" s="57" t="str">
        <f xml:space="preserve">
IF(OR('Dados da OS'!$D$8=Parâmetros!$B$3,'Dados da OS'!$D$8=Parâmetros!$B$4),
  IF(OR(ISBLANK(X18),ISBLANK(Z18)),
     IF(OR(V18="ALI",V18="AIE"),"L",IF(ISBLANK(V18),"","A")),
     IF(V18="EE",IF(Z18&gt;=3,IF(X18&gt;=5,"H","A"),
     IF(Z18&gt;=2,IF(X18&gt;=16,"H",IF(X18&lt;=4,"L","A")),IF(X18&lt;=15,"L","A"))),
     IF(OR(V18="SE",V18="CE"),IF(Z18&gt;=4,IF(X18&gt;=6,"H","A"),IF(Z18&gt;=2,IF(X18&gt;=20,"H",IF(X18&lt;=5,"L","A")),IF(X18&lt;=19,"L","A"))),
     IF(OR(V18="ALI",V18="AIE"),IF(Z18&gt;=6,IF(X18&gt;=20,"H","A"),IF(Z18&gt;=2,IF(X18&gt;=51,"H",IF(X18&lt;=19,"L","A")),IF(X18&lt;=50,"L","A"))))))),
IF('Dados da OS'!$D$8=Parâmetros!$B$6,"Indicativa",
IF('Dados da OS'!$D$8=Parâmetros!$B$5,"PFS","")))</f>
        <v>A</v>
      </c>
      <c r="AF18" s="57">
        <f>IFERROR(VLOOKUP(W18,'Fatores de Impacto e INMs'!$A$3:$D$32,3,0),1)</f>
        <v>0.5</v>
      </c>
      <c r="AG18" s="57" t="str">
        <f>IFERROR(VLOOKUP(W18,'Fatores de Impacto e INMs'!$A$3:$E$32,5,0),1)</f>
        <v>VP</v>
      </c>
      <c r="AH18" s="82" t="str">
        <f xml:space="preserve">
IF(OR('Dados da OS'!$D$8="Selecione o tipo da contagem",ISBLANK('Dados da OS'!$D$8),V18="INM",V18="N/A",ISBLANK(V18),ISBLANK(W18),AG18="VF"),"-",
   IF('Dados da OS'!$D$8=Parâmetros!$B$3,
      IF(OR(ISBLANK(X18),ISBLANK(Z18)),"-",
         IF(AE18="L","Baixa",IF(AE18="A","Média",IF(AE18="H","Alta","-")))),
      IF('Dados da OS'!$D$8=Parâmetros!$B$4,
         IF(OR(V18="ALI",V18="AIE"),"Baixa",IF(OR(V18="EE",V18="SE",V18="CE"),"Média","-")),
         IF(OR('Dados da OS'!$D$8=Parâmetros!$B$5,'Dados da OS'!$D$8=Parâmetros!$B$6),"-"))))</f>
        <v>Média</v>
      </c>
      <c r="AI18" s="83">
        <f xml:space="preserve">
IF(OR(ISBLANK(V18),ISBLANK(U18),ISBLANK(W18),V18="N/A",ISBLANK('Dados da OS'!$D$8)),"",
   IF(OR('Dados da OS'!$D$8=Parâmetros!$B$3,'Dados da OS'!$D$8=Parâmetros!$B$4),
      IF(OR(AND(V18="INM",AG18&lt;&gt;"VF"),AND(AG18="VF",V18&lt;&gt;"INM")),"",
        IF(AND(V18="INM",AG18="VF"),IF(ISBLANK(AB18),"",AF18*AB18),
        IF('Dados da OS'!$D$8=Parâmetros!$B$4,
           IF(OR(V18="CE",V18="EE"),4,IF(V18="SE",5,IF(V18="ALI",7,IF(V18="AIE",5,"")))),
        IF('Dados da OS'!$D$8=Parâmetros!$B$3,
           IF(OR(ISBLANK(X18),ISBLANK(Z18)),"",
              IF(V18="ALI",IF(AE18="L",7,IF(AE18="A",10,15)),
                 IF(V18="AIE",IF(AE18="L",5,IF(AE18="A",7,10)),
                    IF(V18="SE",IF(AE18="L",4,IF(AE18="A",5,7)),
                       IF(OR(V18="EE",V18="CE"),IF(AE18="L",3,IF(AE18="A",4,6)),""))))))))),
   IF('Dados da OS'!$D$8=Parâmetros!$B$5,
      IF(OR(AND(V18="INM",AG18&lt;&gt;"VF"),AND(AG18="VF",V18&lt;&gt;"INM")),"",
         IF(V18="INM",IF(AG18="VF",AF18*AB18,""),
            IF(V18="PE",4.6,
            IF(V18="AL",7,"")))),
   IF('Dados da OS'!$D$8=Parâmetros!$B$6,
      IF(V18="ALI",35,IF(V18="AIE",15,"")),""))
    )
)</f>
        <v>4</v>
      </c>
      <c r="AJ18" s="82">
        <f t="shared" si="8"/>
        <v>2</v>
      </c>
      <c r="AK18" s="84"/>
      <c r="AL18" s="85" t="s">
        <v>21</v>
      </c>
      <c r="AM18" s="86"/>
      <c r="AN18" s="85"/>
      <c r="AO18" s="87"/>
      <c r="AP18" s="85"/>
      <c r="AQ18" s="86"/>
      <c r="AR18" s="85"/>
    </row>
    <row r="19" spans="1:44" ht="15.75" customHeight="1">
      <c r="A19" s="54" t="s">
        <v>244</v>
      </c>
      <c r="B19" s="100"/>
      <c r="C19" s="55" t="s">
        <v>56</v>
      </c>
      <c r="D19" s="55"/>
      <c r="E19" s="56"/>
      <c r="F19" s="55"/>
      <c r="G19" s="56"/>
      <c r="H19" s="55"/>
      <c r="I19" s="64"/>
      <c r="J19" s="57" t="str">
        <f t="shared" si="9"/>
        <v/>
      </c>
      <c r="K19" s="57" t="str">
        <f t="shared" si="10"/>
        <v>A50</v>
      </c>
      <c r="L19" s="57" t="str">
        <f xml:space="preserve">
IF(OR('Dados da OS'!$D$8=Parâmetros!$B$3,'Dados da OS'!$D$8=Parâmetros!$B$4),
  IF(OR(ISBLANK(D19),ISBLANK(F19)),
     IF(OR(B19="ALI",B19="AIE"),"L",IF(ISBLANK(B19),"","A")),
     IF(B19="EE",IF(F19&gt;=3,IF(D19&gt;=5,"H","A"),
     IF(F19&gt;=2,IF(D19&gt;=16,"H",IF(D19&lt;=4,"L","A")),IF(D19&lt;=15,"L","A"))),
     IF(OR(B19="SE",B19="CE"),IF(F19&gt;=4,IF(D19&gt;=6,"H","A"),IF(F19&gt;=2,IF(D19&gt;=20,"H",IF(D19&lt;=5,"L","A")),IF(D19&lt;=19,"L","A"))),
     IF(OR(B19="ALI",B19="AIE"),IF(F19&gt;=6,IF(D19&gt;=20,"H","A"),IF(F19&gt;=2,IF(D19&gt;=51,"H",IF(D19&lt;=19,"L","A")),IF(D19&lt;=50,"L","A"))))))),
IF('Dados da OS'!$D$8=Parâmetros!$B$6,"Indicativa",
IF('Dados da OS'!$D$8=Parâmetros!$B$5,"PFS","")))</f>
        <v/>
      </c>
      <c r="M19" s="57">
        <f>IFERROR(VLOOKUP(C19,'Fatores de Impacto e INMs'!$A$3:$D$32,3,0),1)</f>
        <v>0.5</v>
      </c>
      <c r="N19" s="57" t="str">
        <f>IFERROR(VLOOKUP(C19,'Fatores de Impacto e INMs'!$A$3:$E$32,5,0),1)</f>
        <v>VP</v>
      </c>
      <c r="O19" s="63" t="str">
        <f xml:space="preserve">
IF(OR('Dados da OS'!$D$8="Selecione o tipo da contagem",ISBLANK('Dados da OS'!$D$8),B19="INM",B19="N/A",ISBLANK(B19),ISBLANK(C19),N19="VF"),"-",
   IF('Dados da OS'!$D$8=Parâmetros!$B$3,
      IF(OR(ISBLANK(D19),ISBLANK(F19)),"-",
         IF(L19="L","Baixa",IF(L19="A","Média",IF(L19="H","Alta","-")))),
      IF('Dados da OS'!$D$8=Parâmetros!$B$4,
         IF(OR(B19="ALI",B19="AIE"),"Baixa",IF(OR(B19="EE",B19="SE",B19="CE"),"Média","-")),
         IF(OR('Dados da OS'!$D$8=Parâmetros!$B$5,'Dados da OS'!$D$8=Parâmetros!$B$6),"-"))))</f>
        <v>-</v>
      </c>
      <c r="P19" s="59" t="str">
        <f xml:space="preserve">
IF(OR(ISBLANK(B19),ISBLANK(C19),B19="N/A",ISBLANK('Dados da OS'!$D$8)),"",
   IF(OR('Dados da OS'!$D$8=Parâmetros!$B$3,'Dados da OS'!$D$8=Parâmetros!$B$4),
      IF(OR(AND(B19="INM",N19&lt;&gt;"VF"),AND(N19="VF",B19&lt;&gt;"INM")),"",
        IF(AND(B19="INM",N19="VF"),IF(ISBLANK(H19),"",M19*H19),
        IF('Dados da OS'!$D$8=Parâmetros!$B$4,
           IF(OR(B19="CE",B19="EE"),4,IF(B19="SE",5,IF(B19="ALI",7,IF(B19="AIE",5,"")))),
        IF('Dados da OS'!$D$8=Parâmetros!$B$3,
           IF(OR(ISBLANK(D19),ISBLANK(F19)),"",
              IF(B19="ALI",IF(L19="L",7,IF(L19="A",10,15)),
                 IF(B19="AIE",IF(L19="L",5,IF(L19="A",7,10)),
                    IF(B19="SE",IF(L19="L",4,IF(L19="A",5,7)),
                       IF(OR(B19="EE",B19="CE"),IF(L19="L",3,IF(L19="A",4,6)),""))))))))),
   IF('Dados da OS'!$D$8=Parâmetros!$B$5,
      IF(OR(AND(B19="INM",N19&lt;&gt;"VF"),AND(N19="VF",B19&lt;&gt;"INM")),"",
         IF(B19="INM",IF(N19="VF",M19*H19,""),
            IF(B19="PE",4.6,
            IF(B19="AL",7,"")))),
   IF('Dados da OS'!$D$8=Parâmetros!$B$6,
      IF(B19="ALI",35,IF(B19="AIE",15,"")),""))
    )
)</f>
        <v/>
      </c>
      <c r="Q19" s="60" t="str">
        <f t="shared" si="5"/>
        <v/>
      </c>
      <c r="R19" s="61"/>
      <c r="S19" s="62"/>
      <c r="T19" s="80" t="s">
        <v>21</v>
      </c>
      <c r="U19" s="215"/>
      <c r="V19" s="99"/>
      <c r="W19" s="55" t="s">
        <v>56</v>
      </c>
      <c r="X19" s="55"/>
      <c r="Y19" s="56"/>
      <c r="Z19" s="55"/>
      <c r="AA19" s="56"/>
      <c r="AB19" s="55"/>
      <c r="AC19" s="57" t="str">
        <f t="shared" si="6"/>
        <v/>
      </c>
      <c r="AD19" s="57" t="str">
        <f t="shared" si="7"/>
        <v>A50</v>
      </c>
      <c r="AE19" s="57" t="str">
        <f xml:space="preserve">
IF(OR('Dados da OS'!$D$8=Parâmetros!$B$3,'Dados da OS'!$D$8=Parâmetros!$B$4),
  IF(OR(ISBLANK(X19),ISBLANK(Z19)),
     IF(OR(V19="ALI",V19="AIE"),"L",IF(ISBLANK(V19),"","A")),
     IF(V19="EE",IF(Z19&gt;=3,IF(X19&gt;=5,"H","A"),
     IF(Z19&gt;=2,IF(X19&gt;=16,"H",IF(X19&lt;=4,"L","A")),IF(X19&lt;=15,"L","A"))),
     IF(OR(V19="SE",V19="CE"),IF(Z19&gt;=4,IF(X19&gt;=6,"H","A"),IF(Z19&gt;=2,IF(X19&gt;=20,"H",IF(X19&lt;=5,"L","A")),IF(X19&lt;=19,"L","A"))),
     IF(OR(V19="ALI",V19="AIE"),IF(Z19&gt;=6,IF(X19&gt;=20,"H","A"),IF(Z19&gt;=2,IF(X19&gt;=51,"H",IF(X19&lt;=19,"L","A")),IF(X19&lt;=50,"L","A"))))))),
IF('Dados da OS'!$D$8=Parâmetros!$B$6,"Indicativa",
IF('Dados da OS'!$D$8=Parâmetros!$B$5,"PFS","")))</f>
        <v/>
      </c>
      <c r="AF19" s="57">
        <f>IFERROR(VLOOKUP(W19,'Fatores de Impacto e INMs'!$A$3:$D$32,3,0),1)</f>
        <v>0.5</v>
      </c>
      <c r="AG19" s="57" t="str">
        <f>IFERROR(VLOOKUP(W19,'Fatores de Impacto e INMs'!$A$3:$E$32,5,0),1)</f>
        <v>VP</v>
      </c>
      <c r="AH19" s="82" t="str">
        <f xml:space="preserve">
IF(OR('Dados da OS'!$D$8="Selecione o tipo da contagem",ISBLANK('Dados da OS'!$D$8),V19="INM",V19="N/A",ISBLANK(V19),ISBLANK(W19),AG19="VF"),"-",
   IF('Dados da OS'!$D$8=Parâmetros!$B$3,
      IF(OR(ISBLANK(X19),ISBLANK(Z19)),"-",
         IF(AE19="L","Baixa",IF(AE19="A","Média",IF(AE19="H","Alta","-")))),
      IF('Dados da OS'!$D$8=Parâmetros!$B$4,
         IF(OR(V19="ALI",V19="AIE"),"Baixa",IF(OR(V19="EE",V19="SE",V19="CE"),"Média","-")),
         IF(OR('Dados da OS'!$D$8=Parâmetros!$B$5,'Dados da OS'!$D$8=Parâmetros!$B$6),"-"))))</f>
        <v>-</v>
      </c>
      <c r="AI19" s="83" t="str">
        <f xml:space="preserve">
IF(OR(ISBLANK(V19),ISBLANK(U19),ISBLANK(W19),V19="N/A",ISBLANK('Dados da OS'!$D$8)),"",
   IF(OR('Dados da OS'!$D$8=Parâmetros!$B$3,'Dados da OS'!$D$8=Parâmetros!$B$4),
      IF(OR(AND(V19="INM",AG19&lt;&gt;"VF"),AND(AG19="VF",V19&lt;&gt;"INM")),"",
        IF(AND(V19="INM",AG19="VF"),IF(ISBLANK(AB19),"",AF19*AB19),
        IF('Dados da OS'!$D$8=Parâmetros!$B$4,
           IF(OR(V19="CE",V19="EE"),4,IF(V19="SE",5,IF(V19="ALI",7,IF(V19="AIE",5,"")))),
        IF('Dados da OS'!$D$8=Parâmetros!$B$3,
           IF(OR(ISBLANK(X19),ISBLANK(Z19)),"",
              IF(V19="ALI",IF(AE19="L",7,IF(AE19="A",10,15)),
                 IF(V19="AIE",IF(AE19="L",5,IF(AE19="A",7,10)),
                    IF(V19="SE",IF(AE19="L",4,IF(AE19="A",5,7)),
                       IF(OR(V19="EE",V19="CE"),IF(AE19="L",3,IF(AE19="A",4,6)),""))))))))),
   IF('Dados da OS'!$D$8=Parâmetros!$B$5,
      IF(OR(AND(V19="INM",AG19&lt;&gt;"VF"),AND(AG19="VF",V19&lt;&gt;"INM")),"",
         IF(V19="INM",IF(AG19="VF",AF19*AB19,""),
            IF(V19="PE",4.6,
            IF(V19="AL",7,"")))),
   IF('Dados da OS'!$D$8=Parâmetros!$B$6,
      IF(V19="ALI",35,IF(V19="AIE",15,"")),""))
    )
)</f>
        <v/>
      </c>
      <c r="AJ19" s="82" t="str">
        <f t="shared" si="8"/>
        <v/>
      </c>
      <c r="AK19" s="84"/>
      <c r="AL19" s="85" t="s">
        <v>21</v>
      </c>
      <c r="AM19" s="86"/>
      <c r="AN19" s="85"/>
      <c r="AO19" s="87"/>
      <c r="AP19" s="85"/>
      <c r="AQ19" s="86"/>
      <c r="AR19" s="85"/>
    </row>
    <row r="20" spans="1:44" ht="15.75" customHeight="1">
      <c r="A20" s="54" t="s">
        <v>245</v>
      </c>
      <c r="B20" s="100" t="s">
        <v>122</v>
      </c>
      <c r="C20" s="55" t="s">
        <v>56</v>
      </c>
      <c r="D20" s="55">
        <v>6</v>
      </c>
      <c r="E20" s="56" t="s">
        <v>246</v>
      </c>
      <c r="F20" s="55">
        <v>2</v>
      </c>
      <c r="G20" s="56" t="s">
        <v>247</v>
      </c>
      <c r="H20" s="55"/>
      <c r="I20" s="64"/>
      <c r="J20" s="57" t="str">
        <f t="shared" si="9"/>
        <v>CEA</v>
      </c>
      <c r="K20" s="57" t="str">
        <f t="shared" si="10"/>
        <v>CEA50A2</v>
      </c>
      <c r="L20" s="57" t="str">
        <f xml:space="preserve">
IF(OR('Dados da OS'!$D$8=Parâmetros!$B$3,'Dados da OS'!$D$8=Parâmetros!$B$4),
  IF(OR(ISBLANK(D20),ISBLANK(F20)),
     IF(OR(B20="ALI",B20="AIE"),"L",IF(ISBLANK(B20),"","A")),
     IF(B20="EE",IF(F20&gt;=3,IF(D20&gt;=5,"H","A"),
     IF(F20&gt;=2,IF(D20&gt;=16,"H",IF(D20&lt;=4,"L","A")),IF(D20&lt;=15,"L","A"))),
     IF(OR(B20="SE",B20="CE"),IF(F20&gt;=4,IF(D20&gt;=6,"H","A"),IF(F20&gt;=2,IF(D20&gt;=20,"H",IF(D20&lt;=5,"L","A")),IF(D20&lt;=19,"L","A"))),
     IF(OR(B20="ALI",B20="AIE"),IF(F20&gt;=6,IF(D20&gt;=20,"H","A"),IF(F20&gt;=2,IF(D20&gt;=51,"H",IF(D20&lt;=19,"L","A")),IF(D20&lt;=50,"L","A"))))))),
IF('Dados da OS'!$D$8=Parâmetros!$B$6,"Indicativa",
IF('Dados da OS'!$D$8=Parâmetros!$B$5,"PFS","")))</f>
        <v>A</v>
      </c>
      <c r="M20" s="57">
        <f>IFERROR(VLOOKUP(C20,'Fatores de Impacto e INMs'!$A$3:$D$32,3,0),1)</f>
        <v>0.5</v>
      </c>
      <c r="N20" s="57" t="str">
        <f>IFERROR(VLOOKUP(C20,'Fatores de Impacto e INMs'!$A$3:$E$32,5,0),1)</f>
        <v>VP</v>
      </c>
      <c r="O20" s="63" t="str">
        <f xml:space="preserve">
IF(OR('Dados da OS'!$D$8="Selecione o tipo da contagem",ISBLANK('Dados da OS'!$D$8),B20="INM",B20="N/A",ISBLANK(B20),ISBLANK(C20),N20="VF"),"-",
   IF('Dados da OS'!$D$8=Parâmetros!$B$3,
      IF(OR(ISBLANK(D20),ISBLANK(F20)),"-",
         IF(L20="L","Baixa",IF(L20="A","Média",IF(L20="H","Alta","-")))),
      IF('Dados da OS'!$D$8=Parâmetros!$B$4,
         IF(OR(B20="ALI",B20="AIE"),"Baixa",IF(OR(B20="EE",B20="SE",B20="CE"),"Média","-")),
         IF(OR('Dados da OS'!$D$8=Parâmetros!$B$5,'Dados da OS'!$D$8=Parâmetros!$B$6),"-"))))</f>
        <v>Média</v>
      </c>
      <c r="P20" s="59">
        <f xml:space="preserve">
IF(OR(ISBLANK(B20),ISBLANK(C20),B20="N/A",ISBLANK('Dados da OS'!$D$8)),"",
   IF(OR('Dados da OS'!$D$8=Parâmetros!$B$3,'Dados da OS'!$D$8=Parâmetros!$B$4),
      IF(OR(AND(B20="INM",N20&lt;&gt;"VF"),AND(N20="VF",B20&lt;&gt;"INM")),"",
        IF(AND(B20="INM",N20="VF"),IF(ISBLANK(H20),"",M20*H20),
        IF('Dados da OS'!$D$8=Parâmetros!$B$4,
           IF(OR(B20="CE",B20="EE"),4,IF(B20="SE",5,IF(B20="ALI",7,IF(B20="AIE",5,"")))),
        IF('Dados da OS'!$D$8=Parâmetros!$B$3,
           IF(OR(ISBLANK(D20),ISBLANK(F20)),"",
              IF(B20="ALI",IF(L20="L",7,IF(L20="A",10,15)),
                 IF(B20="AIE",IF(L20="L",5,IF(L20="A",7,10)),
                    IF(B20="SE",IF(L20="L",4,IF(L20="A",5,7)),
                       IF(OR(B20="EE",B20="CE"),IF(L20="L",3,IF(L20="A",4,6)),""))))))))),
   IF('Dados da OS'!$D$8=Parâmetros!$B$5,
      IF(OR(AND(B20="INM",N20&lt;&gt;"VF"),AND(N20="VF",B20&lt;&gt;"INM")),"",
         IF(B20="INM",IF(N20="VF",M20*H20,""),
            IF(B20="PE",4.6,
            IF(B20="AL",7,"")))),
   IF('Dados da OS'!$D$8=Parâmetros!$B$6,
      IF(B20="ALI",35,IF(B20="AIE",15,"")),""))
    )
)</f>
        <v>4</v>
      </c>
      <c r="Q20" s="60">
        <f t="shared" si="5"/>
        <v>2</v>
      </c>
      <c r="R20" s="61"/>
      <c r="S20" s="62" t="s">
        <v>325</v>
      </c>
      <c r="T20" s="80" t="s">
        <v>21</v>
      </c>
      <c r="U20" s="215" t="s">
        <v>214</v>
      </c>
      <c r="V20" s="99" t="s">
        <v>122</v>
      </c>
      <c r="W20" s="55" t="s">
        <v>56</v>
      </c>
      <c r="X20" s="55">
        <v>6</v>
      </c>
      <c r="Y20" s="56" t="s">
        <v>246</v>
      </c>
      <c r="Z20" s="55">
        <v>2</v>
      </c>
      <c r="AA20" s="56" t="s">
        <v>247</v>
      </c>
      <c r="AB20" s="55"/>
      <c r="AC20" s="57" t="str">
        <f t="shared" si="6"/>
        <v>CEA</v>
      </c>
      <c r="AD20" s="57" t="str">
        <f t="shared" si="7"/>
        <v>CEA50A2</v>
      </c>
      <c r="AE20" s="57" t="str">
        <f xml:space="preserve">
IF(OR('Dados da OS'!$D$8=Parâmetros!$B$3,'Dados da OS'!$D$8=Parâmetros!$B$4),
  IF(OR(ISBLANK(X20),ISBLANK(Z20)),
     IF(OR(V20="ALI",V20="AIE"),"L",IF(ISBLANK(V20),"","A")),
     IF(V20="EE",IF(Z20&gt;=3,IF(X20&gt;=5,"H","A"),
     IF(Z20&gt;=2,IF(X20&gt;=16,"H",IF(X20&lt;=4,"L","A")),IF(X20&lt;=15,"L","A"))),
     IF(OR(V20="SE",V20="CE"),IF(Z20&gt;=4,IF(X20&gt;=6,"H","A"),IF(Z20&gt;=2,IF(X20&gt;=20,"H",IF(X20&lt;=5,"L","A")),IF(X20&lt;=19,"L","A"))),
     IF(OR(V20="ALI",V20="AIE"),IF(Z20&gt;=6,IF(X20&gt;=20,"H","A"),IF(Z20&gt;=2,IF(X20&gt;=51,"H",IF(X20&lt;=19,"L","A")),IF(X20&lt;=50,"L","A"))))))),
IF('Dados da OS'!$D$8=Parâmetros!$B$6,"Indicativa",
IF('Dados da OS'!$D$8=Parâmetros!$B$5,"PFS","")))</f>
        <v>A</v>
      </c>
      <c r="AF20" s="57">
        <f>IFERROR(VLOOKUP(W20,'Fatores de Impacto e INMs'!$A$3:$D$32,3,0),1)</f>
        <v>0.5</v>
      </c>
      <c r="AG20" s="57" t="str">
        <f>IFERROR(VLOOKUP(W20,'Fatores de Impacto e INMs'!$A$3:$E$32,5,0),1)</f>
        <v>VP</v>
      </c>
      <c r="AH20" s="82" t="str">
        <f xml:space="preserve">
IF(OR('Dados da OS'!$D$8="Selecione o tipo da contagem",ISBLANK('Dados da OS'!$D$8),V20="INM",V20="N/A",ISBLANK(V20),ISBLANK(W20),AG20="VF"),"-",
   IF('Dados da OS'!$D$8=Parâmetros!$B$3,
      IF(OR(ISBLANK(X20),ISBLANK(Z20)),"-",
         IF(AE20="L","Baixa",IF(AE20="A","Média",IF(AE20="H","Alta","-")))),
      IF('Dados da OS'!$D$8=Parâmetros!$B$4,
         IF(OR(V20="ALI",V20="AIE"),"Baixa",IF(OR(V20="EE",V20="SE",V20="CE"),"Média","-")),
         IF(OR('Dados da OS'!$D$8=Parâmetros!$B$5,'Dados da OS'!$D$8=Parâmetros!$B$6),"-"))))</f>
        <v>Média</v>
      </c>
      <c r="AI20" s="83">
        <f xml:space="preserve">
IF(OR(ISBLANK(V20),ISBLANK(U20),ISBLANK(W20),V20="N/A",ISBLANK('Dados da OS'!$D$8)),"",
   IF(OR('Dados da OS'!$D$8=Parâmetros!$B$3,'Dados da OS'!$D$8=Parâmetros!$B$4),
      IF(OR(AND(V20="INM",AG20&lt;&gt;"VF"),AND(AG20="VF",V20&lt;&gt;"INM")),"",
        IF(AND(V20="INM",AG20="VF"),IF(ISBLANK(AB20),"",AF20*AB20),
        IF('Dados da OS'!$D$8=Parâmetros!$B$4,
           IF(OR(V20="CE",V20="EE"),4,IF(V20="SE",5,IF(V20="ALI",7,IF(V20="AIE",5,"")))),
        IF('Dados da OS'!$D$8=Parâmetros!$B$3,
           IF(OR(ISBLANK(X20),ISBLANK(Z20)),"",
              IF(V20="ALI",IF(AE20="L",7,IF(AE20="A",10,15)),
                 IF(V20="AIE",IF(AE20="L",5,IF(AE20="A",7,10)),
                    IF(V20="SE",IF(AE20="L",4,IF(AE20="A",5,7)),
                       IF(OR(V20="EE",V20="CE"),IF(AE20="L",3,IF(AE20="A",4,6)),""))))))))),
   IF('Dados da OS'!$D$8=Parâmetros!$B$5,
      IF(OR(AND(V20="INM",AG20&lt;&gt;"VF"),AND(AG20="VF",V20&lt;&gt;"INM")),"",
         IF(V20="INM",IF(AG20="VF",AF20*AB20,""),
            IF(V20="PE",4.6,
            IF(V20="AL",7,"")))),
   IF('Dados da OS'!$D$8=Parâmetros!$B$6,
      IF(V20="ALI",35,IF(V20="AIE",15,"")),""))
    )
)</f>
        <v>4</v>
      </c>
      <c r="AJ20" s="82">
        <f t="shared" si="8"/>
        <v>2</v>
      </c>
      <c r="AK20" s="84"/>
      <c r="AL20" s="85" t="s">
        <v>21</v>
      </c>
      <c r="AM20" s="86"/>
      <c r="AN20" s="85"/>
      <c r="AO20" s="87"/>
      <c r="AP20" s="85"/>
      <c r="AQ20" s="86"/>
      <c r="AR20" s="85"/>
    </row>
    <row r="21" spans="1:44" ht="15.75" customHeight="1">
      <c r="A21" s="54" t="s">
        <v>248</v>
      </c>
      <c r="B21" s="100"/>
      <c r="C21" s="55"/>
      <c r="D21" s="55"/>
      <c r="E21" s="56"/>
      <c r="F21" s="55"/>
      <c r="G21" s="56"/>
      <c r="H21" s="55"/>
      <c r="I21" s="64"/>
      <c r="J21" s="57" t="str">
        <f t="shared" si="9"/>
        <v/>
      </c>
      <c r="K21" s="57" t="str">
        <f t="shared" si="10"/>
        <v/>
      </c>
      <c r="L21" s="57" t="str">
        <f xml:space="preserve">
IF(OR('Dados da OS'!$D$8=Parâmetros!$B$3,'Dados da OS'!$D$8=Parâmetros!$B$4),
  IF(OR(ISBLANK(D21),ISBLANK(F21)),
     IF(OR(B21="ALI",B21="AIE"),"L",IF(ISBLANK(B21),"","A")),
     IF(B21="EE",IF(F21&gt;=3,IF(D21&gt;=5,"H","A"),
     IF(F21&gt;=2,IF(D21&gt;=16,"H",IF(D21&lt;=4,"L","A")),IF(D21&lt;=15,"L","A"))),
     IF(OR(B21="SE",B21="CE"),IF(F21&gt;=4,IF(D21&gt;=6,"H","A"),IF(F21&gt;=2,IF(D21&gt;=20,"H",IF(D21&lt;=5,"L","A")),IF(D21&lt;=19,"L","A"))),
     IF(OR(B21="ALI",B21="AIE"),IF(F21&gt;=6,IF(D21&gt;=20,"H","A"),IF(F21&gt;=2,IF(D21&gt;=51,"H",IF(D21&lt;=19,"L","A")),IF(D21&lt;=50,"L","A"))))))),
IF('Dados da OS'!$D$8=Parâmetros!$B$6,"Indicativa",
IF('Dados da OS'!$D$8=Parâmetros!$B$5,"PFS","")))</f>
        <v/>
      </c>
      <c r="M21" s="57">
        <f>IFERROR(VLOOKUP(C21,'Fatores de Impacto e INMs'!$A$3:$D$32,3,0),1)</f>
        <v>1</v>
      </c>
      <c r="N21" s="57">
        <f>IFERROR(VLOOKUP(C21,'Fatores de Impacto e INMs'!$A$3:$E$32,5,0),1)</f>
        <v>1</v>
      </c>
      <c r="O21" s="63" t="str">
        <f xml:space="preserve">
IF(OR('Dados da OS'!$D$8="Selecione o tipo da contagem",ISBLANK('Dados da OS'!$D$8),B21="INM",B21="N/A",ISBLANK(B21),ISBLANK(C21),N21="VF"),"-",
   IF('Dados da OS'!$D$8=Parâmetros!$B$3,
      IF(OR(ISBLANK(D21),ISBLANK(F21)),"-",
         IF(L21="L","Baixa",IF(L21="A","Média",IF(L21="H","Alta","-")))),
      IF('Dados da OS'!$D$8=Parâmetros!$B$4,
         IF(OR(B21="ALI",B21="AIE"),"Baixa",IF(OR(B21="EE",B21="SE",B21="CE"),"Média","-")),
         IF(OR('Dados da OS'!$D$8=Parâmetros!$B$5,'Dados da OS'!$D$8=Parâmetros!$B$6),"-"))))</f>
        <v>-</v>
      </c>
      <c r="P21" s="59" t="str">
        <f xml:space="preserve">
IF(OR(ISBLANK(B21),ISBLANK(C21),B21="N/A",ISBLANK('Dados da OS'!$D$8)),"",
   IF(OR('Dados da OS'!$D$8=Parâmetros!$B$3,'Dados da OS'!$D$8=Parâmetros!$B$4),
      IF(OR(AND(B21="INM",N21&lt;&gt;"VF"),AND(N21="VF",B21&lt;&gt;"INM")),"",
        IF(AND(B21="INM",N21="VF"),IF(ISBLANK(H21),"",M21*H21),
        IF('Dados da OS'!$D$8=Parâmetros!$B$4,
           IF(OR(B21="CE",B21="EE"),4,IF(B21="SE",5,IF(B21="ALI",7,IF(B21="AIE",5,"")))),
        IF('Dados da OS'!$D$8=Parâmetros!$B$3,
           IF(OR(ISBLANK(D21),ISBLANK(F21)),"",
              IF(B21="ALI",IF(L21="L",7,IF(L21="A",10,15)),
                 IF(B21="AIE",IF(L21="L",5,IF(L21="A",7,10)),
                    IF(B21="SE",IF(L21="L",4,IF(L21="A",5,7)),
                       IF(OR(B21="EE",B21="CE"),IF(L21="L",3,IF(L21="A",4,6)),""))))))))),
   IF('Dados da OS'!$D$8=Parâmetros!$B$5,
      IF(OR(AND(B21="INM",N21&lt;&gt;"VF"),AND(N21="VF",B21&lt;&gt;"INM")),"",
         IF(B21="INM",IF(N21="VF",M21*H21,""),
            IF(B21="PE",4.6,
            IF(B21="AL",7,"")))),
   IF('Dados da OS'!$D$8=Parâmetros!$B$6,
      IF(B21="ALI",35,IF(B21="AIE",15,"")),""))
    )
)</f>
        <v/>
      </c>
      <c r="Q21" s="60" t="str">
        <f t="shared" si="5"/>
        <v/>
      </c>
      <c r="R21" s="61"/>
      <c r="S21" s="62"/>
      <c r="T21" s="80" t="s">
        <v>21</v>
      </c>
      <c r="U21" s="215"/>
      <c r="V21" s="99"/>
      <c r="W21" s="55"/>
      <c r="X21" s="55"/>
      <c r="Y21" s="56"/>
      <c r="Z21" s="55"/>
      <c r="AA21" s="56"/>
      <c r="AB21" s="55"/>
      <c r="AC21" s="57" t="str">
        <f t="shared" si="6"/>
        <v/>
      </c>
      <c r="AD21" s="57" t="str">
        <f t="shared" si="7"/>
        <v/>
      </c>
      <c r="AE21" s="57" t="str">
        <f xml:space="preserve">
IF(OR('Dados da OS'!$D$8=Parâmetros!$B$3,'Dados da OS'!$D$8=Parâmetros!$B$4),
  IF(OR(ISBLANK(X21),ISBLANK(Z21)),
     IF(OR(V21="ALI",V21="AIE"),"L",IF(ISBLANK(V21),"","A")),
     IF(V21="EE",IF(Z21&gt;=3,IF(X21&gt;=5,"H","A"),
     IF(Z21&gt;=2,IF(X21&gt;=16,"H",IF(X21&lt;=4,"L","A")),IF(X21&lt;=15,"L","A"))),
     IF(OR(V21="SE",V21="CE"),IF(Z21&gt;=4,IF(X21&gt;=6,"H","A"),IF(Z21&gt;=2,IF(X21&gt;=20,"H",IF(X21&lt;=5,"L","A")),IF(X21&lt;=19,"L","A"))),
     IF(OR(V21="ALI",V21="AIE"),IF(Z21&gt;=6,IF(X21&gt;=20,"H","A"),IF(Z21&gt;=2,IF(X21&gt;=51,"H",IF(X21&lt;=19,"L","A")),IF(X21&lt;=50,"L","A"))))))),
IF('Dados da OS'!$D$8=Parâmetros!$B$6,"Indicativa",
IF('Dados da OS'!$D$8=Parâmetros!$B$5,"PFS","")))</f>
        <v/>
      </c>
      <c r="AF21" s="57">
        <f>IFERROR(VLOOKUP(W21,'Fatores de Impacto e INMs'!$A$3:$D$32,3,0),1)</f>
        <v>1</v>
      </c>
      <c r="AG21" s="57">
        <f>IFERROR(VLOOKUP(W21,'Fatores de Impacto e INMs'!$A$3:$E$32,5,0),1)</f>
        <v>1</v>
      </c>
      <c r="AH21" s="82" t="str">
        <f xml:space="preserve">
IF(OR('Dados da OS'!$D$8="Selecione o tipo da contagem",ISBLANK('Dados da OS'!$D$8),V21="INM",V21="N/A",ISBLANK(V21),ISBLANK(W21),AG21="VF"),"-",
   IF('Dados da OS'!$D$8=Parâmetros!$B$3,
      IF(OR(ISBLANK(X21),ISBLANK(Z21)),"-",
         IF(AE21="L","Baixa",IF(AE21="A","Média",IF(AE21="H","Alta","-")))),
      IF('Dados da OS'!$D$8=Parâmetros!$B$4,
         IF(OR(V21="ALI",V21="AIE"),"Baixa",IF(OR(V21="EE",V21="SE",V21="CE"),"Média","-")),
         IF(OR('Dados da OS'!$D$8=Parâmetros!$B$5,'Dados da OS'!$D$8=Parâmetros!$B$6),"-"))))</f>
        <v>-</v>
      </c>
      <c r="AI21" s="83" t="str">
        <f xml:space="preserve">
IF(OR(ISBLANK(V21),ISBLANK(U21),ISBLANK(W21),V21="N/A",ISBLANK('Dados da OS'!$D$8)),"",
   IF(OR('Dados da OS'!$D$8=Parâmetros!$B$3,'Dados da OS'!$D$8=Parâmetros!$B$4),
      IF(OR(AND(V21="INM",AG21&lt;&gt;"VF"),AND(AG21="VF",V21&lt;&gt;"INM")),"",
        IF(AND(V21="INM",AG21="VF"),IF(ISBLANK(AB21),"",AF21*AB21),
        IF('Dados da OS'!$D$8=Parâmetros!$B$4,
           IF(OR(V21="CE",V21="EE"),4,IF(V21="SE",5,IF(V21="ALI",7,IF(V21="AIE",5,"")))),
        IF('Dados da OS'!$D$8=Parâmetros!$B$3,
           IF(OR(ISBLANK(X21),ISBLANK(Z21)),"",
              IF(V21="ALI",IF(AE21="L",7,IF(AE21="A",10,15)),
                 IF(V21="AIE",IF(AE21="L",5,IF(AE21="A",7,10)),
                    IF(V21="SE",IF(AE21="L",4,IF(AE21="A",5,7)),
                       IF(OR(V21="EE",V21="CE"),IF(AE21="L",3,IF(AE21="A",4,6)),""))))))))),
   IF('Dados da OS'!$D$8=Parâmetros!$B$5,
      IF(OR(AND(V21="INM",AG21&lt;&gt;"VF"),AND(AG21="VF",V21&lt;&gt;"INM")),"",
         IF(V21="INM",IF(AG21="VF",AF21*AB21,""),
            IF(V21="PE",4.6,
            IF(V21="AL",7,"")))),
   IF('Dados da OS'!$D$8=Parâmetros!$B$6,
      IF(V21="ALI",35,IF(V21="AIE",15,"")),""))
    )
)</f>
        <v/>
      </c>
      <c r="AJ21" s="82" t="str">
        <f t="shared" si="8"/>
        <v/>
      </c>
      <c r="AK21" s="84"/>
      <c r="AL21" s="85" t="s">
        <v>21</v>
      </c>
      <c r="AM21" s="86"/>
      <c r="AN21" s="85"/>
      <c r="AO21" s="87"/>
      <c r="AP21" s="85"/>
      <c r="AQ21" s="86"/>
      <c r="AR21" s="85"/>
    </row>
    <row r="22" spans="1:44" ht="15.75" customHeight="1">
      <c r="A22" s="54" t="s">
        <v>249</v>
      </c>
      <c r="B22" s="100" t="s">
        <v>121</v>
      </c>
      <c r="C22" s="55" t="s">
        <v>56</v>
      </c>
      <c r="D22" s="55">
        <v>16</v>
      </c>
      <c r="E22" s="56" t="s">
        <v>250</v>
      </c>
      <c r="F22" s="55">
        <v>3</v>
      </c>
      <c r="G22" s="56" t="s">
        <v>251</v>
      </c>
      <c r="H22" s="55"/>
      <c r="I22" s="64"/>
      <c r="J22" s="57" t="str">
        <f t="shared" si="9"/>
        <v>EEH</v>
      </c>
      <c r="K22" s="57" t="str">
        <f t="shared" si="10"/>
        <v>EEA50H3</v>
      </c>
      <c r="L22" s="57" t="str">
        <f xml:space="preserve">
IF(OR('Dados da OS'!$D$8=Parâmetros!$B$3,'Dados da OS'!$D$8=Parâmetros!$B$4),
  IF(OR(ISBLANK(D22),ISBLANK(F22)),
     IF(OR(B22="ALI",B22="AIE"),"L",IF(ISBLANK(B22),"","A")),
     IF(B22="EE",IF(F22&gt;=3,IF(D22&gt;=5,"H","A"),
     IF(F22&gt;=2,IF(D22&gt;=16,"H",IF(D22&lt;=4,"L","A")),IF(D22&lt;=15,"L","A"))),
     IF(OR(B22="SE",B22="CE"),IF(F22&gt;=4,IF(D22&gt;=6,"H","A"),IF(F22&gt;=2,IF(D22&gt;=20,"H",IF(D22&lt;=5,"L","A")),IF(D22&lt;=19,"L","A"))),
     IF(OR(B22="ALI",B22="AIE"),IF(F22&gt;=6,IF(D22&gt;=20,"H","A"),IF(F22&gt;=2,IF(D22&gt;=51,"H",IF(D22&lt;=19,"L","A")),IF(D22&lt;=50,"L","A"))))))),
IF('Dados da OS'!$D$8=Parâmetros!$B$6,"Indicativa",
IF('Dados da OS'!$D$8=Parâmetros!$B$5,"PFS","")))</f>
        <v>H</v>
      </c>
      <c r="M22" s="57">
        <f>IFERROR(VLOOKUP(C22,'Fatores de Impacto e INMs'!$A$3:$D$32,3,0),1)</f>
        <v>0.5</v>
      </c>
      <c r="N22" s="57" t="str">
        <f>IFERROR(VLOOKUP(C22,'Fatores de Impacto e INMs'!$A$3:$E$32,5,0),1)</f>
        <v>VP</v>
      </c>
      <c r="O22" s="63" t="str">
        <f xml:space="preserve">
IF(OR('Dados da OS'!$D$8="Selecione o tipo da contagem",ISBLANK('Dados da OS'!$D$8),B22="INM",B22="N/A",ISBLANK(B22),ISBLANK(C22),N22="VF"),"-",
   IF('Dados da OS'!$D$8=Parâmetros!$B$3,
      IF(OR(ISBLANK(D22),ISBLANK(F22)),"-",
         IF(L22="L","Baixa",IF(L22="A","Média",IF(L22="H","Alta","-")))),
      IF('Dados da OS'!$D$8=Parâmetros!$B$4,
         IF(OR(B22="ALI",B22="AIE"),"Baixa",IF(OR(B22="EE",B22="SE",B22="CE"),"Média","-")),
         IF(OR('Dados da OS'!$D$8=Parâmetros!$B$5,'Dados da OS'!$D$8=Parâmetros!$B$6),"-"))))</f>
        <v>Alta</v>
      </c>
      <c r="P22" s="59">
        <f xml:space="preserve">
IF(OR(ISBLANK(B22),ISBLANK(C22),B22="N/A",ISBLANK('Dados da OS'!$D$8)),"",
   IF(OR('Dados da OS'!$D$8=Parâmetros!$B$3,'Dados da OS'!$D$8=Parâmetros!$B$4),
      IF(OR(AND(B22="INM",N22&lt;&gt;"VF"),AND(N22="VF",B22&lt;&gt;"INM")),"",
        IF(AND(B22="INM",N22="VF"),IF(ISBLANK(H22),"",M22*H22),
        IF('Dados da OS'!$D$8=Parâmetros!$B$4,
           IF(OR(B22="CE",B22="EE"),4,IF(B22="SE",5,IF(B22="ALI",7,IF(B22="AIE",5,"")))),
        IF('Dados da OS'!$D$8=Parâmetros!$B$3,
           IF(OR(ISBLANK(D22),ISBLANK(F22)),"",
              IF(B22="ALI",IF(L22="L",7,IF(L22="A",10,15)),
                 IF(B22="AIE",IF(L22="L",5,IF(L22="A",7,10)),
                    IF(B22="SE",IF(L22="L",4,IF(L22="A",5,7)),
                       IF(OR(B22="EE",B22="CE"),IF(L22="L",3,IF(L22="A",4,6)),""))))))))),
   IF('Dados da OS'!$D$8=Parâmetros!$B$5,
      IF(OR(AND(B22="INM",N22&lt;&gt;"VF"),AND(N22="VF",B22&lt;&gt;"INM")),"",
         IF(B22="INM",IF(N22="VF",M22*H22,""),
            IF(B22="PE",4.6,
            IF(B22="AL",7,"")))),
   IF('Dados da OS'!$D$8=Parâmetros!$B$6,
      IF(B22="ALI",35,IF(B22="AIE",15,"")),""))
    )
)</f>
        <v>6</v>
      </c>
      <c r="Q22" s="60">
        <f t="shared" si="5"/>
        <v>3</v>
      </c>
      <c r="R22" s="61"/>
      <c r="S22" s="62" t="s">
        <v>326</v>
      </c>
      <c r="T22" s="80" t="s">
        <v>21</v>
      </c>
      <c r="U22" s="215" t="s">
        <v>214</v>
      </c>
      <c r="V22" s="99" t="s">
        <v>121</v>
      </c>
      <c r="W22" s="55" t="s">
        <v>56</v>
      </c>
      <c r="X22" s="55">
        <v>16</v>
      </c>
      <c r="Y22" s="56" t="s">
        <v>250</v>
      </c>
      <c r="Z22" s="55">
        <v>3</v>
      </c>
      <c r="AA22" s="56" t="s">
        <v>251</v>
      </c>
      <c r="AB22" s="55"/>
      <c r="AC22" s="57" t="str">
        <f t="shared" si="6"/>
        <v>EEH</v>
      </c>
      <c r="AD22" s="57" t="str">
        <f t="shared" si="7"/>
        <v>EEA50H3</v>
      </c>
      <c r="AE22" s="57" t="str">
        <f xml:space="preserve">
IF(OR('Dados da OS'!$D$8=Parâmetros!$B$3,'Dados da OS'!$D$8=Parâmetros!$B$4),
  IF(OR(ISBLANK(X22),ISBLANK(Z22)),
     IF(OR(V22="ALI",V22="AIE"),"L",IF(ISBLANK(V22),"","A")),
     IF(V22="EE",IF(Z22&gt;=3,IF(X22&gt;=5,"H","A"),
     IF(Z22&gt;=2,IF(X22&gt;=16,"H",IF(X22&lt;=4,"L","A")),IF(X22&lt;=15,"L","A"))),
     IF(OR(V22="SE",V22="CE"),IF(Z22&gt;=4,IF(X22&gt;=6,"H","A"),IF(Z22&gt;=2,IF(X22&gt;=20,"H",IF(X22&lt;=5,"L","A")),IF(X22&lt;=19,"L","A"))),
     IF(OR(V22="ALI",V22="AIE"),IF(Z22&gt;=6,IF(X22&gt;=20,"H","A"),IF(Z22&gt;=2,IF(X22&gt;=51,"H",IF(X22&lt;=19,"L","A")),IF(X22&lt;=50,"L","A"))))))),
IF('Dados da OS'!$D$8=Parâmetros!$B$6,"Indicativa",
IF('Dados da OS'!$D$8=Parâmetros!$B$5,"PFS","")))</f>
        <v>H</v>
      </c>
      <c r="AF22" s="57">
        <f>IFERROR(VLOOKUP(W22,'Fatores de Impacto e INMs'!$A$3:$D$32,3,0),1)</f>
        <v>0.5</v>
      </c>
      <c r="AG22" s="57" t="str">
        <f>IFERROR(VLOOKUP(W22,'Fatores de Impacto e INMs'!$A$3:$E$32,5,0),1)</f>
        <v>VP</v>
      </c>
      <c r="AH22" s="82" t="str">
        <f xml:space="preserve">
IF(OR('Dados da OS'!$D$8="Selecione o tipo da contagem",ISBLANK('Dados da OS'!$D$8),V22="INM",V22="N/A",ISBLANK(V22),ISBLANK(W22),AG22="VF"),"-",
   IF('Dados da OS'!$D$8=Parâmetros!$B$3,
      IF(OR(ISBLANK(X22),ISBLANK(Z22)),"-",
         IF(AE22="L","Baixa",IF(AE22="A","Média",IF(AE22="H","Alta","-")))),
      IF('Dados da OS'!$D$8=Parâmetros!$B$4,
         IF(OR(V22="ALI",V22="AIE"),"Baixa",IF(OR(V22="EE",V22="SE",V22="CE"),"Média","-")),
         IF(OR('Dados da OS'!$D$8=Parâmetros!$B$5,'Dados da OS'!$D$8=Parâmetros!$B$6),"-"))))</f>
        <v>Alta</v>
      </c>
      <c r="AI22" s="83">
        <f xml:space="preserve">
IF(OR(ISBLANK(V22),ISBLANK(U22),ISBLANK(W22),V22="N/A",ISBLANK('Dados da OS'!$D$8)),"",
   IF(OR('Dados da OS'!$D$8=Parâmetros!$B$3,'Dados da OS'!$D$8=Parâmetros!$B$4),
      IF(OR(AND(V22="INM",AG22&lt;&gt;"VF"),AND(AG22="VF",V22&lt;&gt;"INM")),"",
        IF(AND(V22="INM",AG22="VF"),IF(ISBLANK(AB22),"",AF22*AB22),
        IF('Dados da OS'!$D$8=Parâmetros!$B$4,
           IF(OR(V22="CE",V22="EE"),4,IF(V22="SE",5,IF(V22="ALI",7,IF(V22="AIE",5,"")))),
        IF('Dados da OS'!$D$8=Parâmetros!$B$3,
           IF(OR(ISBLANK(X22),ISBLANK(Z22)),"",
              IF(V22="ALI",IF(AE22="L",7,IF(AE22="A",10,15)),
                 IF(V22="AIE",IF(AE22="L",5,IF(AE22="A",7,10)),
                    IF(V22="SE",IF(AE22="L",4,IF(AE22="A",5,7)),
                       IF(OR(V22="EE",V22="CE"),IF(AE22="L",3,IF(AE22="A",4,6)),""))))))))),
   IF('Dados da OS'!$D$8=Parâmetros!$B$5,
      IF(OR(AND(V22="INM",AG22&lt;&gt;"VF"),AND(AG22="VF",V22&lt;&gt;"INM")),"",
         IF(V22="INM",IF(AG22="VF",AF22*AB22,""),
            IF(V22="PE",4.6,
            IF(V22="AL",7,"")))),
   IF('Dados da OS'!$D$8=Parâmetros!$B$6,
      IF(V22="ALI",35,IF(V22="AIE",15,"")),""))
    )
)</f>
        <v>6</v>
      </c>
      <c r="AJ22" s="82">
        <f t="shared" si="8"/>
        <v>3</v>
      </c>
      <c r="AK22" s="84"/>
      <c r="AL22" s="85" t="s">
        <v>21</v>
      </c>
      <c r="AM22" s="86"/>
      <c r="AN22" s="85"/>
      <c r="AO22" s="87"/>
      <c r="AP22" s="85"/>
      <c r="AQ22" s="86"/>
      <c r="AR22" s="85"/>
    </row>
    <row r="23" spans="1:44" ht="15.75" customHeight="1">
      <c r="A23" s="54" t="s">
        <v>252</v>
      </c>
      <c r="B23" s="100" t="s">
        <v>121</v>
      </c>
      <c r="C23" s="55" t="s">
        <v>56</v>
      </c>
      <c r="D23" s="55">
        <v>16</v>
      </c>
      <c r="E23" s="56" t="s">
        <v>250</v>
      </c>
      <c r="F23" s="55">
        <v>3</v>
      </c>
      <c r="G23" s="56" t="s">
        <v>251</v>
      </c>
      <c r="H23" s="55"/>
      <c r="I23" s="64"/>
      <c r="J23" s="57" t="str">
        <f t="shared" si="9"/>
        <v>EEH</v>
      </c>
      <c r="K23" s="57" t="str">
        <f t="shared" si="10"/>
        <v>EEA50H3</v>
      </c>
      <c r="L23" s="57" t="str">
        <f xml:space="preserve">
IF(OR('Dados da OS'!$D$8=Parâmetros!$B$3,'Dados da OS'!$D$8=Parâmetros!$B$4),
  IF(OR(ISBLANK(D23),ISBLANK(F23)),
     IF(OR(B23="ALI",B23="AIE"),"L",IF(ISBLANK(B23),"","A")),
     IF(B23="EE",IF(F23&gt;=3,IF(D23&gt;=5,"H","A"),
     IF(F23&gt;=2,IF(D23&gt;=16,"H",IF(D23&lt;=4,"L","A")),IF(D23&lt;=15,"L","A"))),
     IF(OR(B23="SE",B23="CE"),IF(F23&gt;=4,IF(D23&gt;=6,"H","A"),IF(F23&gt;=2,IF(D23&gt;=20,"H",IF(D23&lt;=5,"L","A")),IF(D23&lt;=19,"L","A"))),
     IF(OR(B23="ALI",B23="AIE"),IF(F23&gt;=6,IF(D23&gt;=20,"H","A"),IF(F23&gt;=2,IF(D23&gt;=51,"H",IF(D23&lt;=19,"L","A")),IF(D23&lt;=50,"L","A"))))))),
IF('Dados da OS'!$D$8=Parâmetros!$B$6,"Indicativa",
IF('Dados da OS'!$D$8=Parâmetros!$B$5,"PFS","")))</f>
        <v>H</v>
      </c>
      <c r="M23" s="57">
        <f>IFERROR(VLOOKUP(C23,'Fatores de Impacto e INMs'!$A$3:$D$32,3,0),1)</f>
        <v>0.5</v>
      </c>
      <c r="N23" s="57" t="str">
        <f>IFERROR(VLOOKUP(C23,'Fatores de Impacto e INMs'!$A$3:$E$32,5,0),1)</f>
        <v>VP</v>
      </c>
      <c r="O23" s="63" t="str">
        <f xml:space="preserve">
IF(OR('Dados da OS'!$D$8="Selecione o tipo da contagem",ISBLANK('Dados da OS'!$D$8),B23="INM",B23="N/A",ISBLANK(B23),ISBLANK(C23),N23="VF"),"-",
   IF('Dados da OS'!$D$8=Parâmetros!$B$3,
      IF(OR(ISBLANK(D23),ISBLANK(F23)),"-",
         IF(L23="L","Baixa",IF(L23="A","Média",IF(L23="H","Alta","-")))),
      IF('Dados da OS'!$D$8=Parâmetros!$B$4,
         IF(OR(B23="ALI",B23="AIE"),"Baixa",IF(OR(B23="EE",B23="SE",B23="CE"),"Média","-")),
         IF(OR('Dados da OS'!$D$8=Parâmetros!$B$5,'Dados da OS'!$D$8=Parâmetros!$B$6),"-"))))</f>
        <v>Alta</v>
      </c>
      <c r="P23" s="59">
        <f xml:space="preserve">
IF(OR(ISBLANK(B23),ISBLANK(C23),B23="N/A",ISBLANK('Dados da OS'!$D$8)),"",
   IF(OR('Dados da OS'!$D$8=Parâmetros!$B$3,'Dados da OS'!$D$8=Parâmetros!$B$4),
      IF(OR(AND(B23="INM",N23&lt;&gt;"VF"),AND(N23="VF",B23&lt;&gt;"INM")),"",
        IF(AND(B23="INM",N23="VF"),IF(ISBLANK(H23),"",M23*H23),
        IF('Dados da OS'!$D$8=Parâmetros!$B$4,
           IF(OR(B23="CE",B23="EE"),4,IF(B23="SE",5,IF(B23="ALI",7,IF(B23="AIE",5,"")))),
        IF('Dados da OS'!$D$8=Parâmetros!$B$3,
           IF(OR(ISBLANK(D23),ISBLANK(F23)),"",
              IF(B23="ALI",IF(L23="L",7,IF(L23="A",10,15)),
                 IF(B23="AIE",IF(L23="L",5,IF(L23="A",7,10)),
                    IF(B23="SE",IF(L23="L",4,IF(L23="A",5,7)),
                       IF(OR(B23="EE",B23="CE"),IF(L23="L",3,IF(L23="A",4,6)),""))))))))),
   IF('Dados da OS'!$D$8=Parâmetros!$B$5,
      IF(OR(AND(B23="INM",N23&lt;&gt;"VF"),AND(N23="VF",B23&lt;&gt;"INM")),"",
         IF(B23="INM",IF(N23="VF",M23*H23,""),
            IF(B23="PE",4.6,
            IF(B23="AL",7,"")))),
   IF('Dados da OS'!$D$8=Parâmetros!$B$6,
      IF(B23="ALI",35,IF(B23="AIE",15,"")),""))
    )
)</f>
        <v>6</v>
      </c>
      <c r="Q23" s="60">
        <f t="shared" si="5"/>
        <v>3</v>
      </c>
      <c r="R23" s="61"/>
      <c r="S23" s="62" t="s">
        <v>326</v>
      </c>
      <c r="T23" s="80" t="s">
        <v>21</v>
      </c>
      <c r="U23" s="215" t="s">
        <v>214</v>
      </c>
      <c r="V23" s="99" t="s">
        <v>121</v>
      </c>
      <c r="W23" s="55" t="s">
        <v>56</v>
      </c>
      <c r="X23" s="55">
        <v>16</v>
      </c>
      <c r="Y23" s="56" t="s">
        <v>250</v>
      </c>
      <c r="Z23" s="55">
        <v>3</v>
      </c>
      <c r="AA23" s="56" t="s">
        <v>251</v>
      </c>
      <c r="AB23" s="55"/>
      <c r="AC23" s="57" t="str">
        <f t="shared" si="6"/>
        <v>EEH</v>
      </c>
      <c r="AD23" s="57" t="str">
        <f t="shared" si="7"/>
        <v>EEA50H3</v>
      </c>
      <c r="AE23" s="57" t="str">
        <f xml:space="preserve">
IF(OR('Dados da OS'!$D$8=Parâmetros!$B$3,'Dados da OS'!$D$8=Parâmetros!$B$4),
  IF(OR(ISBLANK(X23),ISBLANK(Z23)),
     IF(OR(V23="ALI",V23="AIE"),"L",IF(ISBLANK(V23),"","A")),
     IF(V23="EE",IF(Z23&gt;=3,IF(X23&gt;=5,"H","A"),
     IF(Z23&gt;=2,IF(X23&gt;=16,"H",IF(X23&lt;=4,"L","A")),IF(X23&lt;=15,"L","A"))),
     IF(OR(V23="SE",V23="CE"),IF(Z23&gt;=4,IF(X23&gt;=6,"H","A"),IF(Z23&gt;=2,IF(X23&gt;=20,"H",IF(X23&lt;=5,"L","A")),IF(X23&lt;=19,"L","A"))),
     IF(OR(V23="ALI",V23="AIE"),IF(Z23&gt;=6,IF(X23&gt;=20,"H","A"),IF(Z23&gt;=2,IF(X23&gt;=51,"H",IF(X23&lt;=19,"L","A")),IF(X23&lt;=50,"L","A"))))))),
IF('Dados da OS'!$D$8=Parâmetros!$B$6,"Indicativa",
IF('Dados da OS'!$D$8=Parâmetros!$B$5,"PFS","")))</f>
        <v>H</v>
      </c>
      <c r="AF23" s="57">
        <f>IFERROR(VLOOKUP(W23,'Fatores de Impacto e INMs'!$A$3:$D$32,3,0),1)</f>
        <v>0.5</v>
      </c>
      <c r="AG23" s="57" t="str">
        <f>IFERROR(VLOOKUP(W23,'Fatores de Impacto e INMs'!$A$3:$E$32,5,0),1)</f>
        <v>VP</v>
      </c>
      <c r="AH23" s="82" t="str">
        <f xml:space="preserve">
IF(OR('Dados da OS'!$D$8="Selecione o tipo da contagem",ISBLANK('Dados da OS'!$D$8),V23="INM",V23="N/A",ISBLANK(V23),ISBLANK(W23),AG23="VF"),"-",
   IF('Dados da OS'!$D$8=Parâmetros!$B$3,
      IF(OR(ISBLANK(X23),ISBLANK(Z23)),"-",
         IF(AE23="L","Baixa",IF(AE23="A","Média",IF(AE23="H","Alta","-")))),
      IF('Dados da OS'!$D$8=Parâmetros!$B$4,
         IF(OR(V23="ALI",V23="AIE"),"Baixa",IF(OR(V23="EE",V23="SE",V23="CE"),"Média","-")),
         IF(OR('Dados da OS'!$D$8=Parâmetros!$B$5,'Dados da OS'!$D$8=Parâmetros!$B$6),"-"))))</f>
        <v>Alta</v>
      </c>
      <c r="AI23" s="83">
        <f xml:space="preserve">
IF(OR(ISBLANK(V23),ISBLANK(U23),ISBLANK(W23),V23="N/A",ISBLANK('Dados da OS'!$D$8)),"",
   IF(OR('Dados da OS'!$D$8=Parâmetros!$B$3,'Dados da OS'!$D$8=Parâmetros!$B$4),
      IF(OR(AND(V23="INM",AG23&lt;&gt;"VF"),AND(AG23="VF",V23&lt;&gt;"INM")),"",
        IF(AND(V23="INM",AG23="VF"),IF(ISBLANK(AB23),"",AF23*AB23),
        IF('Dados da OS'!$D$8=Parâmetros!$B$4,
           IF(OR(V23="CE",V23="EE"),4,IF(V23="SE",5,IF(V23="ALI",7,IF(V23="AIE",5,"")))),
        IF('Dados da OS'!$D$8=Parâmetros!$B$3,
           IF(OR(ISBLANK(X23),ISBLANK(Z23)),"",
              IF(V23="ALI",IF(AE23="L",7,IF(AE23="A",10,15)),
                 IF(V23="AIE",IF(AE23="L",5,IF(AE23="A",7,10)),
                    IF(V23="SE",IF(AE23="L",4,IF(AE23="A",5,7)),
                       IF(OR(V23="EE",V23="CE"),IF(AE23="L",3,IF(AE23="A",4,6)),""))))))))),
   IF('Dados da OS'!$D$8=Parâmetros!$B$5,
      IF(OR(AND(V23="INM",AG23&lt;&gt;"VF"),AND(AG23="VF",V23&lt;&gt;"INM")),"",
         IF(V23="INM",IF(AG23="VF",AF23*AB23,""),
            IF(V23="PE",4.6,
            IF(V23="AL",7,"")))),
   IF('Dados da OS'!$D$8=Parâmetros!$B$6,
      IF(V23="ALI",35,IF(V23="AIE",15,"")),""))
    )
)</f>
        <v>6</v>
      </c>
      <c r="AJ23" s="82">
        <f t="shared" si="8"/>
        <v>3</v>
      </c>
      <c r="AK23" s="84"/>
      <c r="AL23" s="85" t="s">
        <v>21</v>
      </c>
      <c r="AM23" s="86"/>
      <c r="AN23" s="85"/>
      <c r="AO23" s="87"/>
      <c r="AP23" s="85"/>
      <c r="AQ23" s="86"/>
      <c r="AR23" s="85"/>
    </row>
    <row r="24" spans="1:44" ht="15.75" customHeight="1">
      <c r="A24" s="54" t="s">
        <v>253</v>
      </c>
      <c r="B24" s="100"/>
      <c r="C24" s="55"/>
      <c r="D24" s="55"/>
      <c r="E24" s="56"/>
      <c r="F24" s="55"/>
      <c r="G24" s="56"/>
      <c r="H24" s="55"/>
      <c r="I24" s="64"/>
      <c r="J24" s="57" t="str">
        <f t="shared" si="9"/>
        <v/>
      </c>
      <c r="K24" s="57" t="str">
        <f t="shared" si="10"/>
        <v/>
      </c>
      <c r="L24" s="57" t="str">
        <f xml:space="preserve">
IF(OR('Dados da OS'!$D$8=Parâmetros!$B$3,'Dados da OS'!$D$8=Parâmetros!$B$4),
  IF(OR(ISBLANK(D24),ISBLANK(F24)),
     IF(OR(B24="ALI",B24="AIE"),"L",IF(ISBLANK(B24),"","A")),
     IF(B24="EE",IF(F24&gt;=3,IF(D24&gt;=5,"H","A"),
     IF(F24&gt;=2,IF(D24&gt;=16,"H",IF(D24&lt;=4,"L","A")),IF(D24&lt;=15,"L","A"))),
     IF(OR(B24="SE",B24="CE"),IF(F24&gt;=4,IF(D24&gt;=6,"H","A"),IF(F24&gt;=2,IF(D24&gt;=20,"H",IF(D24&lt;=5,"L","A")),IF(D24&lt;=19,"L","A"))),
     IF(OR(B24="ALI",B24="AIE"),IF(F24&gt;=6,IF(D24&gt;=20,"H","A"),IF(F24&gt;=2,IF(D24&gt;=51,"H",IF(D24&lt;=19,"L","A")),IF(D24&lt;=50,"L","A"))))))),
IF('Dados da OS'!$D$8=Parâmetros!$B$6,"Indicativa",
IF('Dados da OS'!$D$8=Parâmetros!$B$5,"PFS","")))</f>
        <v/>
      </c>
      <c r="M24" s="57">
        <f>IFERROR(VLOOKUP(C24,'Fatores de Impacto e INMs'!$A$3:$D$32,3,0),1)</f>
        <v>1</v>
      </c>
      <c r="N24" s="57">
        <f>IFERROR(VLOOKUP(C24,'Fatores de Impacto e INMs'!$A$3:$E$32,5,0),1)</f>
        <v>1</v>
      </c>
      <c r="O24" s="63" t="str">
        <f xml:space="preserve">
IF(OR('Dados da OS'!$D$8="Selecione o tipo da contagem",ISBLANK('Dados da OS'!$D$8),B24="INM",B24="N/A",ISBLANK(B24),ISBLANK(C24),N24="VF"),"-",
   IF('Dados da OS'!$D$8=Parâmetros!$B$3,
      IF(OR(ISBLANK(D24),ISBLANK(F24)),"-",
         IF(L24="L","Baixa",IF(L24="A","Média",IF(L24="H","Alta","-")))),
      IF('Dados da OS'!$D$8=Parâmetros!$B$4,
         IF(OR(B24="ALI",B24="AIE"),"Baixa",IF(OR(B24="EE",B24="SE",B24="CE"),"Média","-")),
         IF(OR('Dados da OS'!$D$8=Parâmetros!$B$5,'Dados da OS'!$D$8=Parâmetros!$B$6),"-"))))</f>
        <v>-</v>
      </c>
      <c r="P24" s="59" t="str">
        <f xml:space="preserve">
IF(OR(ISBLANK(B24),ISBLANK(C24),B24="N/A",ISBLANK('Dados da OS'!$D$8)),"",
   IF(OR('Dados da OS'!$D$8=Parâmetros!$B$3,'Dados da OS'!$D$8=Parâmetros!$B$4),
      IF(OR(AND(B24="INM",N24&lt;&gt;"VF"),AND(N24="VF",B24&lt;&gt;"INM")),"",
        IF(AND(B24="INM",N24="VF"),IF(ISBLANK(H24),"",M24*H24),
        IF('Dados da OS'!$D$8=Parâmetros!$B$4,
           IF(OR(B24="CE",B24="EE"),4,IF(B24="SE",5,IF(B24="ALI",7,IF(B24="AIE",5,"")))),
        IF('Dados da OS'!$D$8=Parâmetros!$B$3,
           IF(OR(ISBLANK(D24),ISBLANK(F24)),"",
              IF(B24="ALI",IF(L24="L",7,IF(L24="A",10,15)),
                 IF(B24="AIE",IF(L24="L",5,IF(L24="A",7,10)),
                    IF(B24="SE",IF(L24="L",4,IF(L24="A",5,7)),
                       IF(OR(B24="EE",B24="CE"),IF(L24="L",3,IF(L24="A",4,6)),""))))))))),
   IF('Dados da OS'!$D$8=Parâmetros!$B$5,
      IF(OR(AND(B24="INM",N24&lt;&gt;"VF"),AND(N24="VF",B24&lt;&gt;"INM")),"",
         IF(B24="INM",IF(N24="VF",M24*H24,""),
            IF(B24="PE",4.6,
            IF(B24="AL",7,"")))),
   IF('Dados da OS'!$D$8=Parâmetros!$B$6,
      IF(B24="ALI",35,IF(B24="AIE",15,"")),""))
    )
)</f>
        <v/>
      </c>
      <c r="Q24" s="60" t="str">
        <f t="shared" si="5"/>
        <v/>
      </c>
      <c r="R24" s="61"/>
      <c r="S24" s="62"/>
      <c r="T24" s="80" t="s">
        <v>21</v>
      </c>
      <c r="U24" s="215"/>
      <c r="V24" s="99"/>
      <c r="W24" s="55"/>
      <c r="X24" s="55"/>
      <c r="Y24" s="56"/>
      <c r="Z24" s="55"/>
      <c r="AA24" s="56"/>
      <c r="AB24" s="55"/>
      <c r="AC24" s="57" t="str">
        <f t="shared" si="6"/>
        <v/>
      </c>
      <c r="AD24" s="57" t="str">
        <f t="shared" si="7"/>
        <v/>
      </c>
      <c r="AE24" s="57" t="str">
        <f xml:space="preserve">
IF(OR('Dados da OS'!$D$8=Parâmetros!$B$3,'Dados da OS'!$D$8=Parâmetros!$B$4),
  IF(OR(ISBLANK(X24),ISBLANK(Z24)),
     IF(OR(V24="ALI",V24="AIE"),"L",IF(ISBLANK(V24),"","A")),
     IF(V24="EE",IF(Z24&gt;=3,IF(X24&gt;=5,"H","A"),
     IF(Z24&gt;=2,IF(X24&gt;=16,"H",IF(X24&lt;=4,"L","A")),IF(X24&lt;=15,"L","A"))),
     IF(OR(V24="SE",V24="CE"),IF(Z24&gt;=4,IF(X24&gt;=6,"H","A"),IF(Z24&gt;=2,IF(X24&gt;=20,"H",IF(X24&lt;=5,"L","A")),IF(X24&lt;=19,"L","A"))),
     IF(OR(V24="ALI",V24="AIE"),IF(Z24&gt;=6,IF(X24&gt;=20,"H","A"),IF(Z24&gt;=2,IF(X24&gt;=51,"H",IF(X24&lt;=19,"L","A")),IF(X24&lt;=50,"L","A"))))))),
IF('Dados da OS'!$D$8=Parâmetros!$B$6,"Indicativa",
IF('Dados da OS'!$D$8=Parâmetros!$B$5,"PFS","")))</f>
        <v/>
      </c>
      <c r="AF24" s="57">
        <f>IFERROR(VLOOKUP(W24,'Fatores de Impacto e INMs'!$A$3:$D$32,3,0),1)</f>
        <v>1</v>
      </c>
      <c r="AG24" s="57">
        <f>IFERROR(VLOOKUP(W24,'Fatores de Impacto e INMs'!$A$3:$E$32,5,0),1)</f>
        <v>1</v>
      </c>
      <c r="AH24" s="82" t="str">
        <f xml:space="preserve">
IF(OR('Dados da OS'!$D$8="Selecione o tipo da contagem",ISBLANK('Dados da OS'!$D$8),V24="INM",V24="N/A",ISBLANK(V24),ISBLANK(W24),AG24="VF"),"-",
   IF('Dados da OS'!$D$8=Parâmetros!$B$3,
      IF(OR(ISBLANK(X24),ISBLANK(Z24)),"-",
         IF(AE24="L","Baixa",IF(AE24="A","Média",IF(AE24="H","Alta","-")))),
      IF('Dados da OS'!$D$8=Parâmetros!$B$4,
         IF(OR(V24="ALI",V24="AIE"),"Baixa",IF(OR(V24="EE",V24="SE",V24="CE"),"Média","-")),
         IF(OR('Dados da OS'!$D$8=Parâmetros!$B$5,'Dados da OS'!$D$8=Parâmetros!$B$6),"-"))))</f>
        <v>-</v>
      </c>
      <c r="AI24" s="83" t="str">
        <f xml:space="preserve">
IF(OR(ISBLANK(V24),ISBLANK(U24),ISBLANK(W24),V24="N/A",ISBLANK('Dados da OS'!$D$8)),"",
   IF(OR('Dados da OS'!$D$8=Parâmetros!$B$3,'Dados da OS'!$D$8=Parâmetros!$B$4),
      IF(OR(AND(V24="INM",AG24&lt;&gt;"VF"),AND(AG24="VF",V24&lt;&gt;"INM")),"",
        IF(AND(V24="INM",AG24="VF"),IF(ISBLANK(AB24),"",AF24*AB24),
        IF('Dados da OS'!$D$8=Parâmetros!$B$4,
           IF(OR(V24="CE",V24="EE"),4,IF(V24="SE",5,IF(V24="ALI",7,IF(V24="AIE",5,"")))),
        IF('Dados da OS'!$D$8=Parâmetros!$B$3,
           IF(OR(ISBLANK(X24),ISBLANK(Z24)),"",
              IF(V24="ALI",IF(AE24="L",7,IF(AE24="A",10,15)),
                 IF(V24="AIE",IF(AE24="L",5,IF(AE24="A",7,10)),
                    IF(V24="SE",IF(AE24="L",4,IF(AE24="A",5,7)),
                       IF(OR(V24="EE",V24="CE"),IF(AE24="L",3,IF(AE24="A",4,6)),""))))))))),
   IF('Dados da OS'!$D$8=Parâmetros!$B$5,
      IF(OR(AND(V24="INM",AG24&lt;&gt;"VF"),AND(AG24="VF",V24&lt;&gt;"INM")),"",
         IF(V24="INM",IF(AG24="VF",AF24*AB24,""),
            IF(V24="PE",4.6,
            IF(V24="AL",7,"")))),
   IF('Dados da OS'!$D$8=Parâmetros!$B$6,
      IF(V24="ALI",35,IF(V24="AIE",15,"")),""))
    )
)</f>
        <v/>
      </c>
      <c r="AJ24" s="82" t="str">
        <f t="shared" si="8"/>
        <v/>
      </c>
      <c r="AK24" s="84"/>
      <c r="AL24" s="85" t="s">
        <v>21</v>
      </c>
      <c r="AM24" s="86"/>
      <c r="AN24" s="85"/>
      <c r="AO24" s="87"/>
      <c r="AP24" s="85"/>
      <c r="AQ24" s="86"/>
      <c r="AR24" s="85"/>
    </row>
    <row r="25" spans="1:44" ht="15.75" customHeight="1">
      <c r="A25" s="54" t="s">
        <v>254</v>
      </c>
      <c r="B25" s="100" t="s">
        <v>122</v>
      </c>
      <c r="C25" s="55" t="s">
        <v>56</v>
      </c>
      <c r="D25" s="55">
        <v>10</v>
      </c>
      <c r="E25" s="56" t="s">
        <v>255</v>
      </c>
      <c r="F25" s="55">
        <v>2</v>
      </c>
      <c r="G25" s="56" t="s">
        <v>247</v>
      </c>
      <c r="H25" s="55"/>
      <c r="I25" s="64"/>
      <c r="J25" s="57" t="str">
        <f t="shared" si="9"/>
        <v>CEA</v>
      </c>
      <c r="K25" s="57" t="str">
        <f t="shared" si="10"/>
        <v>CEA50A2</v>
      </c>
      <c r="L25" s="57" t="str">
        <f xml:space="preserve">
IF(OR('Dados da OS'!$D$8=Parâmetros!$B$3,'Dados da OS'!$D$8=Parâmetros!$B$4),
  IF(OR(ISBLANK(D25),ISBLANK(F25)),
     IF(OR(B25="ALI",B25="AIE"),"L",IF(ISBLANK(B25),"","A")),
     IF(B25="EE",IF(F25&gt;=3,IF(D25&gt;=5,"H","A"),
     IF(F25&gt;=2,IF(D25&gt;=16,"H",IF(D25&lt;=4,"L","A")),IF(D25&lt;=15,"L","A"))),
     IF(OR(B25="SE",B25="CE"),IF(F25&gt;=4,IF(D25&gt;=6,"H","A"),IF(F25&gt;=2,IF(D25&gt;=20,"H",IF(D25&lt;=5,"L","A")),IF(D25&lt;=19,"L","A"))),
     IF(OR(B25="ALI",B25="AIE"),IF(F25&gt;=6,IF(D25&gt;=20,"H","A"),IF(F25&gt;=2,IF(D25&gt;=51,"H",IF(D25&lt;=19,"L","A")),IF(D25&lt;=50,"L","A"))))))),
IF('Dados da OS'!$D$8=Parâmetros!$B$6,"Indicativa",
IF('Dados da OS'!$D$8=Parâmetros!$B$5,"PFS","")))</f>
        <v>A</v>
      </c>
      <c r="M25" s="57">
        <f>IFERROR(VLOOKUP(C25,'Fatores de Impacto e INMs'!$A$3:$D$32,3,0),1)</f>
        <v>0.5</v>
      </c>
      <c r="N25" s="57" t="str">
        <f>IFERROR(VLOOKUP(C25,'Fatores de Impacto e INMs'!$A$3:$E$32,5,0),1)</f>
        <v>VP</v>
      </c>
      <c r="O25" s="63" t="str">
        <f xml:space="preserve">
IF(OR('Dados da OS'!$D$8="Selecione o tipo da contagem",ISBLANK('Dados da OS'!$D$8),B25="INM",B25="N/A",ISBLANK(B25),ISBLANK(C25),N25="VF"),"-",
   IF('Dados da OS'!$D$8=Parâmetros!$B$3,
      IF(OR(ISBLANK(D25),ISBLANK(F25)),"-",
         IF(L25="L","Baixa",IF(L25="A","Média",IF(L25="H","Alta","-")))),
      IF('Dados da OS'!$D$8=Parâmetros!$B$4,
         IF(OR(B25="ALI",B25="AIE"),"Baixa",IF(OR(B25="EE",B25="SE",B25="CE"),"Média","-")),
         IF(OR('Dados da OS'!$D$8=Parâmetros!$B$5,'Dados da OS'!$D$8=Parâmetros!$B$6),"-"))))</f>
        <v>Média</v>
      </c>
      <c r="P25" s="59">
        <f xml:space="preserve">
IF(OR(ISBLANK(B25),ISBLANK(C25),B25="N/A",ISBLANK('Dados da OS'!$D$8)),"",
   IF(OR('Dados da OS'!$D$8=Parâmetros!$B$3,'Dados da OS'!$D$8=Parâmetros!$B$4),
      IF(OR(AND(B25="INM",N25&lt;&gt;"VF"),AND(N25="VF",B25&lt;&gt;"INM")),"",
        IF(AND(B25="INM",N25="VF"),IF(ISBLANK(H25),"",M25*H25),
        IF('Dados da OS'!$D$8=Parâmetros!$B$4,
           IF(OR(B25="CE",B25="EE"),4,IF(B25="SE",5,IF(B25="ALI",7,IF(B25="AIE",5,"")))),
        IF('Dados da OS'!$D$8=Parâmetros!$B$3,
           IF(OR(ISBLANK(D25),ISBLANK(F25)),"",
              IF(B25="ALI",IF(L25="L",7,IF(L25="A",10,15)),
                 IF(B25="AIE",IF(L25="L",5,IF(L25="A",7,10)),
                    IF(B25="SE",IF(L25="L",4,IF(L25="A",5,7)),
                       IF(OR(B25="EE",B25="CE"),IF(L25="L",3,IF(L25="A",4,6)),""))))))))),
   IF('Dados da OS'!$D$8=Parâmetros!$B$5,
      IF(OR(AND(B25="INM",N25&lt;&gt;"VF"),AND(N25="VF",B25&lt;&gt;"INM")),"",
         IF(B25="INM",IF(N25="VF",M25*H25,""),
            IF(B25="PE",4.6,
            IF(B25="AL",7,"")))),
   IF('Dados da OS'!$D$8=Parâmetros!$B$6,
      IF(B25="ALI",35,IF(B25="AIE",15,"")),""))
    )
)</f>
        <v>4</v>
      </c>
      <c r="Q25" s="60">
        <f t="shared" si="5"/>
        <v>2</v>
      </c>
      <c r="R25" s="61"/>
      <c r="S25" s="62" t="s">
        <v>327</v>
      </c>
      <c r="T25" s="80" t="s">
        <v>21</v>
      </c>
      <c r="U25" s="215" t="s">
        <v>214</v>
      </c>
      <c r="V25" s="99" t="s">
        <v>122</v>
      </c>
      <c r="W25" s="55" t="s">
        <v>56</v>
      </c>
      <c r="X25" s="55">
        <v>10</v>
      </c>
      <c r="Y25" s="56" t="s">
        <v>255</v>
      </c>
      <c r="Z25" s="55">
        <v>2</v>
      </c>
      <c r="AA25" s="56" t="s">
        <v>247</v>
      </c>
      <c r="AB25" s="55"/>
      <c r="AC25" s="57" t="str">
        <f t="shared" si="6"/>
        <v>CEA</v>
      </c>
      <c r="AD25" s="57" t="str">
        <f t="shared" si="7"/>
        <v>CEA50A2</v>
      </c>
      <c r="AE25" s="57" t="str">
        <f xml:space="preserve">
IF(OR('Dados da OS'!$D$8=Parâmetros!$B$3,'Dados da OS'!$D$8=Parâmetros!$B$4),
  IF(OR(ISBLANK(X25),ISBLANK(Z25)),
     IF(OR(V25="ALI",V25="AIE"),"L",IF(ISBLANK(V25),"","A")),
     IF(V25="EE",IF(Z25&gt;=3,IF(X25&gt;=5,"H","A"),
     IF(Z25&gt;=2,IF(X25&gt;=16,"H",IF(X25&lt;=4,"L","A")),IF(X25&lt;=15,"L","A"))),
     IF(OR(V25="SE",V25="CE"),IF(Z25&gt;=4,IF(X25&gt;=6,"H","A"),IF(Z25&gt;=2,IF(X25&gt;=20,"H",IF(X25&lt;=5,"L","A")),IF(X25&lt;=19,"L","A"))),
     IF(OR(V25="ALI",V25="AIE"),IF(Z25&gt;=6,IF(X25&gt;=20,"H","A"),IF(Z25&gt;=2,IF(X25&gt;=51,"H",IF(X25&lt;=19,"L","A")),IF(X25&lt;=50,"L","A"))))))),
IF('Dados da OS'!$D$8=Parâmetros!$B$6,"Indicativa",
IF('Dados da OS'!$D$8=Parâmetros!$B$5,"PFS","")))</f>
        <v>A</v>
      </c>
      <c r="AF25" s="57">
        <f>IFERROR(VLOOKUP(W25,'Fatores de Impacto e INMs'!$A$3:$D$32,3,0),1)</f>
        <v>0.5</v>
      </c>
      <c r="AG25" s="57" t="str">
        <f>IFERROR(VLOOKUP(W25,'Fatores de Impacto e INMs'!$A$3:$E$32,5,0),1)</f>
        <v>VP</v>
      </c>
      <c r="AH25" s="82" t="str">
        <f xml:space="preserve">
IF(OR('Dados da OS'!$D$8="Selecione o tipo da contagem",ISBLANK('Dados da OS'!$D$8),V25="INM",V25="N/A",ISBLANK(V25),ISBLANK(W25),AG25="VF"),"-",
   IF('Dados da OS'!$D$8=Parâmetros!$B$3,
      IF(OR(ISBLANK(X25),ISBLANK(Z25)),"-",
         IF(AE25="L","Baixa",IF(AE25="A","Média",IF(AE25="H","Alta","-")))),
      IF('Dados da OS'!$D$8=Parâmetros!$B$4,
         IF(OR(V25="ALI",V25="AIE"),"Baixa",IF(OR(V25="EE",V25="SE",V25="CE"),"Média","-")),
         IF(OR('Dados da OS'!$D$8=Parâmetros!$B$5,'Dados da OS'!$D$8=Parâmetros!$B$6),"-"))))</f>
        <v>Média</v>
      </c>
      <c r="AI25" s="83">
        <f xml:space="preserve">
IF(OR(ISBLANK(V25),ISBLANK(U25),ISBLANK(W25),V25="N/A",ISBLANK('Dados da OS'!$D$8)),"",
   IF(OR('Dados da OS'!$D$8=Parâmetros!$B$3,'Dados da OS'!$D$8=Parâmetros!$B$4),
      IF(OR(AND(V25="INM",AG25&lt;&gt;"VF"),AND(AG25="VF",V25&lt;&gt;"INM")),"",
        IF(AND(V25="INM",AG25="VF"),IF(ISBLANK(AB25),"",AF25*AB25),
        IF('Dados da OS'!$D$8=Parâmetros!$B$4,
           IF(OR(V25="CE",V25="EE"),4,IF(V25="SE",5,IF(V25="ALI",7,IF(V25="AIE",5,"")))),
        IF('Dados da OS'!$D$8=Parâmetros!$B$3,
           IF(OR(ISBLANK(X25),ISBLANK(Z25)),"",
              IF(V25="ALI",IF(AE25="L",7,IF(AE25="A",10,15)),
                 IF(V25="AIE",IF(AE25="L",5,IF(AE25="A",7,10)),
                    IF(V25="SE",IF(AE25="L",4,IF(AE25="A",5,7)),
                       IF(OR(V25="EE",V25="CE"),IF(AE25="L",3,IF(AE25="A",4,6)),""))))))))),
   IF('Dados da OS'!$D$8=Parâmetros!$B$5,
      IF(OR(AND(V25="INM",AG25&lt;&gt;"VF"),AND(AG25="VF",V25&lt;&gt;"INM")),"",
         IF(V25="INM",IF(AG25="VF",AF25*AB25,""),
            IF(V25="PE",4.6,
            IF(V25="AL",7,"")))),
   IF('Dados da OS'!$D$8=Parâmetros!$B$6,
      IF(V25="ALI",35,IF(V25="AIE",15,"")),""))
    )
)</f>
        <v>4</v>
      </c>
      <c r="AJ25" s="82">
        <f t="shared" si="8"/>
        <v>2</v>
      </c>
      <c r="AK25" s="84"/>
      <c r="AL25" s="85" t="s">
        <v>21</v>
      </c>
      <c r="AM25" s="86"/>
      <c r="AN25" s="85"/>
      <c r="AO25" s="87"/>
      <c r="AP25" s="85"/>
      <c r="AQ25" s="86"/>
      <c r="AR25" s="85"/>
    </row>
    <row r="26" spans="1:44" ht="15.75" customHeight="1">
      <c r="A26" s="54" t="s">
        <v>256</v>
      </c>
      <c r="B26" s="100" t="s">
        <v>121</v>
      </c>
      <c r="C26" s="55" t="s">
        <v>56</v>
      </c>
      <c r="D26" s="55">
        <v>8</v>
      </c>
      <c r="E26" s="56" t="s">
        <v>257</v>
      </c>
      <c r="F26" s="55">
        <v>1</v>
      </c>
      <c r="G26" s="56" t="s">
        <v>258</v>
      </c>
      <c r="H26" s="55"/>
      <c r="I26" s="64"/>
      <c r="J26" s="57" t="str">
        <f t="shared" si="9"/>
        <v>EEL</v>
      </c>
      <c r="K26" s="57" t="str">
        <f t="shared" si="10"/>
        <v>EEA50L1,5</v>
      </c>
      <c r="L26" s="57" t="str">
        <f xml:space="preserve">
IF(OR('Dados da OS'!$D$8=Parâmetros!$B$3,'Dados da OS'!$D$8=Parâmetros!$B$4),
  IF(OR(ISBLANK(D26),ISBLANK(F26)),
     IF(OR(B26="ALI",B26="AIE"),"L",IF(ISBLANK(B26),"","A")),
     IF(B26="EE",IF(F26&gt;=3,IF(D26&gt;=5,"H","A"),
     IF(F26&gt;=2,IF(D26&gt;=16,"H",IF(D26&lt;=4,"L","A")),IF(D26&lt;=15,"L","A"))),
     IF(OR(B26="SE",B26="CE"),IF(F26&gt;=4,IF(D26&gt;=6,"H","A"),IF(F26&gt;=2,IF(D26&gt;=20,"H",IF(D26&lt;=5,"L","A")),IF(D26&lt;=19,"L","A"))),
     IF(OR(B26="ALI",B26="AIE"),IF(F26&gt;=6,IF(D26&gt;=20,"H","A"),IF(F26&gt;=2,IF(D26&gt;=51,"H",IF(D26&lt;=19,"L","A")),IF(D26&lt;=50,"L","A"))))))),
IF('Dados da OS'!$D$8=Parâmetros!$B$6,"Indicativa",
IF('Dados da OS'!$D$8=Parâmetros!$B$5,"PFS","")))</f>
        <v>L</v>
      </c>
      <c r="M26" s="57">
        <f>IFERROR(VLOOKUP(C26,'Fatores de Impacto e INMs'!$A$3:$D$32,3,0),1)</f>
        <v>0.5</v>
      </c>
      <c r="N26" s="57" t="str">
        <f>IFERROR(VLOOKUP(C26,'Fatores de Impacto e INMs'!$A$3:$E$32,5,0),1)</f>
        <v>VP</v>
      </c>
      <c r="O26" s="63" t="str">
        <f xml:space="preserve">
IF(OR('Dados da OS'!$D$8="Selecione o tipo da contagem",ISBLANK('Dados da OS'!$D$8),B26="INM",B26="N/A",ISBLANK(B26),ISBLANK(C26),N26="VF"),"-",
   IF('Dados da OS'!$D$8=Parâmetros!$B$3,
      IF(OR(ISBLANK(D26),ISBLANK(F26)),"-",
         IF(L26="L","Baixa",IF(L26="A","Média",IF(L26="H","Alta","-")))),
      IF('Dados da OS'!$D$8=Parâmetros!$B$4,
         IF(OR(B26="ALI",B26="AIE"),"Baixa",IF(OR(B26="EE",B26="SE",B26="CE"),"Média","-")),
         IF(OR('Dados da OS'!$D$8=Parâmetros!$B$5,'Dados da OS'!$D$8=Parâmetros!$B$6),"-"))))</f>
        <v>Baixa</v>
      </c>
      <c r="P26" s="59">
        <f xml:space="preserve">
IF(OR(ISBLANK(B26),ISBLANK(C26),B26="N/A",ISBLANK('Dados da OS'!$D$8)),"",
   IF(OR('Dados da OS'!$D$8=Parâmetros!$B$3,'Dados da OS'!$D$8=Parâmetros!$B$4),
      IF(OR(AND(B26="INM",N26&lt;&gt;"VF"),AND(N26="VF",B26&lt;&gt;"INM")),"",
        IF(AND(B26="INM",N26="VF"),IF(ISBLANK(H26),"",M26*H26),
        IF('Dados da OS'!$D$8=Parâmetros!$B$4,
           IF(OR(B26="CE",B26="EE"),4,IF(B26="SE",5,IF(B26="ALI",7,IF(B26="AIE",5,"")))),
        IF('Dados da OS'!$D$8=Parâmetros!$B$3,
           IF(OR(ISBLANK(D26),ISBLANK(F26)),"",
              IF(B26="ALI",IF(L26="L",7,IF(L26="A",10,15)),
                 IF(B26="AIE",IF(L26="L",5,IF(L26="A",7,10)),
                    IF(B26="SE",IF(L26="L",4,IF(L26="A",5,7)),
                       IF(OR(B26="EE",B26="CE"),IF(L26="L",3,IF(L26="A",4,6)),""))))))))),
   IF('Dados da OS'!$D$8=Parâmetros!$B$5,
      IF(OR(AND(B26="INM",N26&lt;&gt;"VF"),AND(N26="VF",B26&lt;&gt;"INM")),"",
         IF(B26="INM",IF(N26="VF",M26*H26,""),
            IF(B26="PE",4.6,
            IF(B26="AL",7,"")))),
   IF('Dados da OS'!$D$8=Parâmetros!$B$6,
      IF(B26="ALI",35,IF(B26="AIE",15,"")),""))
    )
)</f>
        <v>3</v>
      </c>
      <c r="Q26" s="60">
        <f t="shared" si="5"/>
        <v>1.5</v>
      </c>
      <c r="R26" s="61"/>
      <c r="S26" s="62" t="s">
        <v>327</v>
      </c>
      <c r="T26" s="80" t="s">
        <v>21</v>
      </c>
      <c r="U26" s="215" t="s">
        <v>214</v>
      </c>
      <c r="V26" s="99" t="s">
        <v>121</v>
      </c>
      <c r="W26" s="55" t="s">
        <v>56</v>
      </c>
      <c r="X26" s="55">
        <v>8</v>
      </c>
      <c r="Y26" s="56" t="s">
        <v>257</v>
      </c>
      <c r="Z26" s="55">
        <v>1</v>
      </c>
      <c r="AA26" s="56" t="s">
        <v>258</v>
      </c>
      <c r="AB26" s="55"/>
      <c r="AC26" s="57" t="str">
        <f t="shared" si="6"/>
        <v>EEL</v>
      </c>
      <c r="AD26" s="57" t="str">
        <f t="shared" si="7"/>
        <v>EEA50L1,5</v>
      </c>
      <c r="AE26" s="57" t="str">
        <f xml:space="preserve">
IF(OR('Dados da OS'!$D$8=Parâmetros!$B$3,'Dados da OS'!$D$8=Parâmetros!$B$4),
  IF(OR(ISBLANK(X26),ISBLANK(Z26)),
     IF(OR(V26="ALI",V26="AIE"),"L",IF(ISBLANK(V26),"","A")),
     IF(V26="EE",IF(Z26&gt;=3,IF(X26&gt;=5,"H","A"),
     IF(Z26&gt;=2,IF(X26&gt;=16,"H",IF(X26&lt;=4,"L","A")),IF(X26&lt;=15,"L","A"))),
     IF(OR(V26="SE",V26="CE"),IF(Z26&gt;=4,IF(X26&gt;=6,"H","A"),IF(Z26&gt;=2,IF(X26&gt;=20,"H",IF(X26&lt;=5,"L","A")),IF(X26&lt;=19,"L","A"))),
     IF(OR(V26="ALI",V26="AIE"),IF(Z26&gt;=6,IF(X26&gt;=20,"H","A"),IF(Z26&gt;=2,IF(X26&gt;=51,"H",IF(X26&lt;=19,"L","A")),IF(X26&lt;=50,"L","A"))))))),
IF('Dados da OS'!$D$8=Parâmetros!$B$6,"Indicativa",
IF('Dados da OS'!$D$8=Parâmetros!$B$5,"PFS","")))</f>
        <v>L</v>
      </c>
      <c r="AF26" s="57">
        <f>IFERROR(VLOOKUP(W26,'Fatores de Impacto e INMs'!$A$3:$D$32,3,0),1)</f>
        <v>0.5</v>
      </c>
      <c r="AG26" s="57" t="str">
        <f>IFERROR(VLOOKUP(W26,'Fatores de Impacto e INMs'!$A$3:$E$32,5,0),1)</f>
        <v>VP</v>
      </c>
      <c r="AH26" s="82" t="str">
        <f xml:space="preserve">
IF(OR('Dados da OS'!$D$8="Selecione o tipo da contagem",ISBLANK('Dados da OS'!$D$8),V26="INM",V26="N/A",ISBLANK(V26),ISBLANK(W26),AG26="VF"),"-",
   IF('Dados da OS'!$D$8=Parâmetros!$B$3,
      IF(OR(ISBLANK(X26),ISBLANK(Z26)),"-",
         IF(AE26="L","Baixa",IF(AE26="A","Média",IF(AE26="H","Alta","-")))),
      IF('Dados da OS'!$D$8=Parâmetros!$B$4,
         IF(OR(V26="ALI",V26="AIE"),"Baixa",IF(OR(V26="EE",V26="SE",V26="CE"),"Média","-")),
         IF(OR('Dados da OS'!$D$8=Parâmetros!$B$5,'Dados da OS'!$D$8=Parâmetros!$B$6),"-"))))</f>
        <v>Baixa</v>
      </c>
      <c r="AI26" s="83">
        <f xml:space="preserve">
IF(OR(ISBLANK(V26),ISBLANK(U26),ISBLANK(W26),V26="N/A",ISBLANK('Dados da OS'!$D$8)),"",
   IF(OR('Dados da OS'!$D$8=Parâmetros!$B$3,'Dados da OS'!$D$8=Parâmetros!$B$4),
      IF(OR(AND(V26="INM",AG26&lt;&gt;"VF"),AND(AG26="VF",V26&lt;&gt;"INM")),"",
        IF(AND(V26="INM",AG26="VF"),IF(ISBLANK(AB26),"",AF26*AB26),
        IF('Dados da OS'!$D$8=Parâmetros!$B$4,
           IF(OR(V26="CE",V26="EE"),4,IF(V26="SE",5,IF(V26="ALI",7,IF(V26="AIE",5,"")))),
        IF('Dados da OS'!$D$8=Parâmetros!$B$3,
           IF(OR(ISBLANK(X26),ISBLANK(Z26)),"",
              IF(V26="ALI",IF(AE26="L",7,IF(AE26="A",10,15)),
                 IF(V26="AIE",IF(AE26="L",5,IF(AE26="A",7,10)),
                    IF(V26="SE",IF(AE26="L",4,IF(AE26="A",5,7)),
                       IF(OR(V26="EE",V26="CE"),IF(AE26="L",3,IF(AE26="A",4,6)),""))))))))),
   IF('Dados da OS'!$D$8=Parâmetros!$B$5,
      IF(OR(AND(V26="INM",AG26&lt;&gt;"VF"),AND(AG26="VF",V26&lt;&gt;"INM")),"",
         IF(V26="INM",IF(AG26="VF",AF26*AB26,""),
            IF(V26="PE",4.6,
            IF(V26="AL",7,"")))),
   IF('Dados da OS'!$D$8=Parâmetros!$B$6,
      IF(V26="ALI",35,IF(V26="AIE",15,"")),""))
    )
)</f>
        <v>3</v>
      </c>
      <c r="AJ26" s="82">
        <f t="shared" si="8"/>
        <v>1.5</v>
      </c>
      <c r="AK26" s="84"/>
      <c r="AL26" s="85" t="s">
        <v>21</v>
      </c>
      <c r="AM26" s="86"/>
      <c r="AN26" s="85"/>
      <c r="AO26" s="87"/>
      <c r="AP26" s="85"/>
      <c r="AQ26" s="86"/>
      <c r="AR26" s="85"/>
    </row>
    <row r="27" spans="1:44" ht="15.75" customHeight="1">
      <c r="A27" s="54" t="s">
        <v>259</v>
      </c>
      <c r="B27" s="100" t="s">
        <v>121</v>
      </c>
      <c r="C27" s="55" t="s">
        <v>56</v>
      </c>
      <c r="D27" s="55">
        <v>8</v>
      </c>
      <c r="E27" s="56" t="s">
        <v>257</v>
      </c>
      <c r="F27" s="55">
        <v>1</v>
      </c>
      <c r="G27" s="56" t="s">
        <v>258</v>
      </c>
      <c r="H27" s="55"/>
      <c r="I27" s="64"/>
      <c r="J27" s="57" t="str">
        <f t="shared" si="9"/>
        <v>EEL</v>
      </c>
      <c r="K27" s="57" t="str">
        <f t="shared" si="10"/>
        <v>EEA50L1,5</v>
      </c>
      <c r="L27" s="57" t="str">
        <f xml:space="preserve">
IF(OR('Dados da OS'!$D$8=Parâmetros!$B$3,'Dados da OS'!$D$8=Parâmetros!$B$4),
  IF(OR(ISBLANK(D27),ISBLANK(F27)),
     IF(OR(B27="ALI",B27="AIE"),"L",IF(ISBLANK(B27),"","A")),
     IF(B27="EE",IF(F27&gt;=3,IF(D27&gt;=5,"H","A"),
     IF(F27&gt;=2,IF(D27&gt;=16,"H",IF(D27&lt;=4,"L","A")),IF(D27&lt;=15,"L","A"))),
     IF(OR(B27="SE",B27="CE"),IF(F27&gt;=4,IF(D27&gt;=6,"H","A"),IF(F27&gt;=2,IF(D27&gt;=20,"H",IF(D27&lt;=5,"L","A")),IF(D27&lt;=19,"L","A"))),
     IF(OR(B27="ALI",B27="AIE"),IF(F27&gt;=6,IF(D27&gt;=20,"H","A"),IF(F27&gt;=2,IF(D27&gt;=51,"H",IF(D27&lt;=19,"L","A")),IF(D27&lt;=50,"L","A"))))))),
IF('Dados da OS'!$D$8=Parâmetros!$B$6,"Indicativa",
IF('Dados da OS'!$D$8=Parâmetros!$B$5,"PFS","")))</f>
        <v>L</v>
      </c>
      <c r="M27" s="57">
        <f>IFERROR(VLOOKUP(C27,'Fatores de Impacto e INMs'!$A$3:$D$32,3,0),1)</f>
        <v>0.5</v>
      </c>
      <c r="N27" s="57" t="str">
        <f>IFERROR(VLOOKUP(C27,'Fatores de Impacto e INMs'!$A$3:$E$32,5,0),1)</f>
        <v>VP</v>
      </c>
      <c r="O27" s="63" t="str">
        <f xml:space="preserve">
IF(OR('Dados da OS'!$D$8="Selecione o tipo da contagem",ISBLANK('Dados da OS'!$D$8),B27="INM",B27="N/A",ISBLANK(B27),ISBLANK(C27),N27="VF"),"-",
   IF('Dados da OS'!$D$8=Parâmetros!$B$3,
      IF(OR(ISBLANK(D27),ISBLANK(F27)),"-",
         IF(L27="L","Baixa",IF(L27="A","Média",IF(L27="H","Alta","-")))),
      IF('Dados da OS'!$D$8=Parâmetros!$B$4,
         IF(OR(B27="ALI",B27="AIE"),"Baixa",IF(OR(B27="EE",B27="SE",B27="CE"),"Média","-")),
         IF(OR('Dados da OS'!$D$8=Parâmetros!$B$5,'Dados da OS'!$D$8=Parâmetros!$B$6),"-"))))</f>
        <v>Baixa</v>
      </c>
      <c r="P27" s="59">
        <f xml:space="preserve">
IF(OR(ISBLANK(B27),ISBLANK(C27),B27="N/A",ISBLANK('Dados da OS'!$D$8)),"",
   IF(OR('Dados da OS'!$D$8=Parâmetros!$B$3,'Dados da OS'!$D$8=Parâmetros!$B$4),
      IF(OR(AND(B27="INM",N27&lt;&gt;"VF"),AND(N27="VF",B27&lt;&gt;"INM")),"",
        IF(AND(B27="INM",N27="VF"),IF(ISBLANK(H27),"",M27*H27),
        IF('Dados da OS'!$D$8=Parâmetros!$B$4,
           IF(OR(B27="CE",B27="EE"),4,IF(B27="SE",5,IF(B27="ALI",7,IF(B27="AIE",5,"")))),
        IF('Dados da OS'!$D$8=Parâmetros!$B$3,
           IF(OR(ISBLANK(D27),ISBLANK(F27)),"",
              IF(B27="ALI",IF(L27="L",7,IF(L27="A",10,15)),
                 IF(B27="AIE",IF(L27="L",5,IF(L27="A",7,10)),
                    IF(B27="SE",IF(L27="L",4,IF(L27="A",5,7)),
                       IF(OR(B27="EE",B27="CE"),IF(L27="L",3,IF(L27="A",4,6)),""))))))))),
   IF('Dados da OS'!$D$8=Parâmetros!$B$5,
      IF(OR(AND(B27="INM",N27&lt;&gt;"VF"),AND(N27="VF",B27&lt;&gt;"INM")),"",
         IF(B27="INM",IF(N27="VF",M27*H27,""),
            IF(B27="PE",4.6,
            IF(B27="AL",7,"")))),
   IF('Dados da OS'!$D$8=Parâmetros!$B$6,
      IF(B27="ALI",35,IF(B27="AIE",15,"")),""))
    )
)</f>
        <v>3</v>
      </c>
      <c r="Q27" s="60">
        <f t="shared" si="5"/>
        <v>1.5</v>
      </c>
      <c r="R27" s="61"/>
      <c r="S27" s="62" t="s">
        <v>327</v>
      </c>
      <c r="T27" s="80" t="s">
        <v>21</v>
      </c>
      <c r="U27" s="215" t="s">
        <v>214</v>
      </c>
      <c r="V27" s="99" t="s">
        <v>121</v>
      </c>
      <c r="W27" s="55" t="s">
        <v>56</v>
      </c>
      <c r="X27" s="55">
        <v>8</v>
      </c>
      <c r="Y27" s="56" t="s">
        <v>257</v>
      </c>
      <c r="Z27" s="55">
        <v>1</v>
      </c>
      <c r="AA27" s="56" t="s">
        <v>258</v>
      </c>
      <c r="AB27" s="55"/>
      <c r="AC27" s="57" t="str">
        <f t="shared" si="6"/>
        <v>EEL</v>
      </c>
      <c r="AD27" s="57" t="str">
        <f t="shared" si="7"/>
        <v>EEA50L1,5</v>
      </c>
      <c r="AE27" s="57" t="str">
        <f xml:space="preserve">
IF(OR('Dados da OS'!$D$8=Parâmetros!$B$3,'Dados da OS'!$D$8=Parâmetros!$B$4),
  IF(OR(ISBLANK(X27),ISBLANK(Z27)),
     IF(OR(V27="ALI",V27="AIE"),"L",IF(ISBLANK(V27),"","A")),
     IF(V27="EE",IF(Z27&gt;=3,IF(X27&gt;=5,"H","A"),
     IF(Z27&gt;=2,IF(X27&gt;=16,"H",IF(X27&lt;=4,"L","A")),IF(X27&lt;=15,"L","A"))),
     IF(OR(V27="SE",V27="CE"),IF(Z27&gt;=4,IF(X27&gt;=6,"H","A"),IF(Z27&gt;=2,IF(X27&gt;=20,"H",IF(X27&lt;=5,"L","A")),IF(X27&lt;=19,"L","A"))),
     IF(OR(V27="ALI",V27="AIE"),IF(Z27&gt;=6,IF(X27&gt;=20,"H","A"),IF(Z27&gt;=2,IF(X27&gt;=51,"H",IF(X27&lt;=19,"L","A")),IF(X27&lt;=50,"L","A"))))))),
IF('Dados da OS'!$D$8=Parâmetros!$B$6,"Indicativa",
IF('Dados da OS'!$D$8=Parâmetros!$B$5,"PFS","")))</f>
        <v>L</v>
      </c>
      <c r="AF27" s="57">
        <f>IFERROR(VLOOKUP(W27,'Fatores de Impacto e INMs'!$A$3:$D$32,3,0),1)</f>
        <v>0.5</v>
      </c>
      <c r="AG27" s="57" t="str">
        <f>IFERROR(VLOOKUP(W27,'Fatores de Impacto e INMs'!$A$3:$E$32,5,0),1)</f>
        <v>VP</v>
      </c>
      <c r="AH27" s="82" t="str">
        <f xml:space="preserve">
IF(OR('Dados da OS'!$D$8="Selecione o tipo da contagem",ISBLANK('Dados da OS'!$D$8),V27="INM",V27="N/A",ISBLANK(V27),ISBLANK(W27),AG27="VF"),"-",
   IF('Dados da OS'!$D$8=Parâmetros!$B$3,
      IF(OR(ISBLANK(X27),ISBLANK(Z27)),"-",
         IF(AE27="L","Baixa",IF(AE27="A","Média",IF(AE27="H","Alta","-")))),
      IF('Dados da OS'!$D$8=Parâmetros!$B$4,
         IF(OR(V27="ALI",V27="AIE"),"Baixa",IF(OR(V27="EE",V27="SE",V27="CE"),"Média","-")),
         IF(OR('Dados da OS'!$D$8=Parâmetros!$B$5,'Dados da OS'!$D$8=Parâmetros!$B$6),"-"))))</f>
        <v>Baixa</v>
      </c>
      <c r="AI27" s="83">
        <f xml:space="preserve">
IF(OR(ISBLANK(V27),ISBLANK(U27),ISBLANK(W27),V27="N/A",ISBLANK('Dados da OS'!$D$8)),"",
   IF(OR('Dados da OS'!$D$8=Parâmetros!$B$3,'Dados da OS'!$D$8=Parâmetros!$B$4),
      IF(OR(AND(V27="INM",AG27&lt;&gt;"VF"),AND(AG27="VF",V27&lt;&gt;"INM")),"",
        IF(AND(V27="INM",AG27="VF"),IF(ISBLANK(AB27),"",AF27*AB27),
        IF('Dados da OS'!$D$8=Parâmetros!$B$4,
           IF(OR(V27="CE",V27="EE"),4,IF(V27="SE",5,IF(V27="ALI",7,IF(V27="AIE",5,"")))),
        IF('Dados da OS'!$D$8=Parâmetros!$B$3,
           IF(OR(ISBLANK(X27),ISBLANK(Z27)),"",
              IF(V27="ALI",IF(AE27="L",7,IF(AE27="A",10,15)),
                 IF(V27="AIE",IF(AE27="L",5,IF(AE27="A",7,10)),
                    IF(V27="SE",IF(AE27="L",4,IF(AE27="A",5,7)),
                       IF(OR(V27="EE",V27="CE"),IF(AE27="L",3,IF(AE27="A",4,6)),""))))))))),
   IF('Dados da OS'!$D$8=Parâmetros!$B$5,
      IF(OR(AND(V27="INM",AG27&lt;&gt;"VF"),AND(AG27="VF",V27&lt;&gt;"INM")),"",
         IF(V27="INM",IF(AG27="VF",AF27*AB27,""),
            IF(V27="PE",4.6,
            IF(V27="AL",7,"")))),
   IF('Dados da OS'!$D$8=Parâmetros!$B$6,
      IF(V27="ALI",35,IF(V27="AIE",15,"")),""))
    )
)</f>
        <v>3</v>
      </c>
      <c r="AJ27" s="82">
        <f t="shared" si="8"/>
        <v>1.5</v>
      </c>
      <c r="AK27" s="84"/>
      <c r="AL27" s="85" t="s">
        <v>21</v>
      </c>
      <c r="AM27" s="86"/>
      <c r="AN27" s="85"/>
      <c r="AO27" s="87"/>
      <c r="AP27" s="85"/>
      <c r="AQ27" s="86"/>
      <c r="AR27" s="85"/>
    </row>
    <row r="28" spans="1:44" ht="15.75" customHeight="1">
      <c r="A28" s="54" t="s">
        <v>260</v>
      </c>
      <c r="B28" s="100"/>
      <c r="C28" s="55"/>
      <c r="D28" s="55"/>
      <c r="E28" s="56"/>
      <c r="F28" s="55"/>
      <c r="G28" s="56"/>
      <c r="H28" s="55"/>
      <c r="I28" s="64"/>
      <c r="J28" s="57" t="str">
        <f t="shared" si="9"/>
        <v/>
      </c>
      <c r="K28" s="57" t="str">
        <f t="shared" si="10"/>
        <v/>
      </c>
      <c r="L28" s="57" t="str">
        <f xml:space="preserve">
IF(OR('Dados da OS'!$D$8=Parâmetros!$B$3,'Dados da OS'!$D$8=Parâmetros!$B$4),
  IF(OR(ISBLANK(D28),ISBLANK(F28)),
     IF(OR(B28="ALI",B28="AIE"),"L",IF(ISBLANK(B28),"","A")),
     IF(B28="EE",IF(F28&gt;=3,IF(D28&gt;=5,"H","A"),
     IF(F28&gt;=2,IF(D28&gt;=16,"H",IF(D28&lt;=4,"L","A")),IF(D28&lt;=15,"L","A"))),
     IF(OR(B28="SE",B28="CE"),IF(F28&gt;=4,IF(D28&gt;=6,"H","A"),IF(F28&gt;=2,IF(D28&gt;=20,"H",IF(D28&lt;=5,"L","A")),IF(D28&lt;=19,"L","A"))),
     IF(OR(B28="ALI",B28="AIE"),IF(F28&gt;=6,IF(D28&gt;=20,"H","A"),IF(F28&gt;=2,IF(D28&gt;=51,"H",IF(D28&lt;=19,"L","A")),IF(D28&lt;=50,"L","A"))))))),
IF('Dados da OS'!$D$8=Parâmetros!$B$6,"Indicativa",
IF('Dados da OS'!$D$8=Parâmetros!$B$5,"PFS","")))</f>
        <v/>
      </c>
      <c r="M28" s="57">
        <f>IFERROR(VLOOKUP(C28,'Fatores de Impacto e INMs'!$A$3:$D$32,3,0),1)</f>
        <v>1</v>
      </c>
      <c r="N28" s="57">
        <f>IFERROR(VLOOKUP(C28,'Fatores de Impacto e INMs'!$A$3:$E$32,5,0),1)</f>
        <v>1</v>
      </c>
      <c r="O28" s="63" t="str">
        <f xml:space="preserve">
IF(OR('Dados da OS'!$D$8="Selecione o tipo da contagem",ISBLANK('Dados da OS'!$D$8),B28="INM",B28="N/A",ISBLANK(B28),ISBLANK(C28),N28="VF"),"-",
   IF('Dados da OS'!$D$8=Parâmetros!$B$3,
      IF(OR(ISBLANK(D28),ISBLANK(F28)),"-",
         IF(L28="L","Baixa",IF(L28="A","Média",IF(L28="H","Alta","-")))),
      IF('Dados da OS'!$D$8=Parâmetros!$B$4,
         IF(OR(B28="ALI",B28="AIE"),"Baixa",IF(OR(B28="EE",B28="SE",B28="CE"),"Média","-")),
         IF(OR('Dados da OS'!$D$8=Parâmetros!$B$5,'Dados da OS'!$D$8=Parâmetros!$B$6),"-"))))</f>
        <v>-</v>
      </c>
      <c r="P28" s="59" t="str">
        <f xml:space="preserve">
IF(OR(ISBLANK(B28),ISBLANK(C28),B28="N/A",ISBLANK('Dados da OS'!$D$8)),"",
   IF(OR('Dados da OS'!$D$8=Parâmetros!$B$3,'Dados da OS'!$D$8=Parâmetros!$B$4),
      IF(OR(AND(B28="INM",N28&lt;&gt;"VF"),AND(N28="VF",B28&lt;&gt;"INM")),"",
        IF(AND(B28="INM",N28="VF"),IF(ISBLANK(H28),"",M28*H28),
        IF('Dados da OS'!$D$8=Parâmetros!$B$4,
           IF(OR(B28="CE",B28="EE"),4,IF(B28="SE",5,IF(B28="ALI",7,IF(B28="AIE",5,"")))),
        IF('Dados da OS'!$D$8=Parâmetros!$B$3,
           IF(OR(ISBLANK(D28),ISBLANK(F28)),"",
              IF(B28="ALI",IF(L28="L",7,IF(L28="A",10,15)),
                 IF(B28="AIE",IF(L28="L",5,IF(L28="A",7,10)),
                    IF(B28="SE",IF(L28="L",4,IF(L28="A",5,7)),
                       IF(OR(B28="EE",B28="CE"),IF(L28="L",3,IF(L28="A",4,6)),""))))))))),
   IF('Dados da OS'!$D$8=Parâmetros!$B$5,
      IF(OR(AND(B28="INM",N28&lt;&gt;"VF"),AND(N28="VF",B28&lt;&gt;"INM")),"",
         IF(B28="INM",IF(N28="VF",M28*H28,""),
            IF(B28="PE",4.6,
            IF(B28="AL",7,"")))),
   IF('Dados da OS'!$D$8=Parâmetros!$B$6,
      IF(B28="ALI",35,IF(B28="AIE",15,"")),""))
    )
)</f>
        <v/>
      </c>
      <c r="Q28" s="60" t="str">
        <f t="shared" si="5"/>
        <v/>
      </c>
      <c r="R28" s="61"/>
      <c r="S28" s="62"/>
      <c r="T28" s="80" t="s">
        <v>21</v>
      </c>
      <c r="U28" s="215"/>
      <c r="V28" s="99"/>
      <c r="W28" s="55"/>
      <c r="X28" s="55"/>
      <c r="Y28" s="56"/>
      <c r="Z28" s="55"/>
      <c r="AA28" s="56"/>
      <c r="AB28" s="55"/>
      <c r="AC28" s="57" t="str">
        <f t="shared" si="6"/>
        <v/>
      </c>
      <c r="AD28" s="57" t="str">
        <f t="shared" si="7"/>
        <v/>
      </c>
      <c r="AE28" s="57" t="str">
        <f xml:space="preserve">
IF(OR('Dados da OS'!$D$8=Parâmetros!$B$3,'Dados da OS'!$D$8=Parâmetros!$B$4),
  IF(OR(ISBLANK(X28),ISBLANK(Z28)),
     IF(OR(V28="ALI",V28="AIE"),"L",IF(ISBLANK(V28),"","A")),
     IF(V28="EE",IF(Z28&gt;=3,IF(X28&gt;=5,"H","A"),
     IF(Z28&gt;=2,IF(X28&gt;=16,"H",IF(X28&lt;=4,"L","A")),IF(X28&lt;=15,"L","A"))),
     IF(OR(V28="SE",V28="CE"),IF(Z28&gt;=4,IF(X28&gt;=6,"H","A"),IF(Z28&gt;=2,IF(X28&gt;=20,"H",IF(X28&lt;=5,"L","A")),IF(X28&lt;=19,"L","A"))),
     IF(OR(V28="ALI",V28="AIE"),IF(Z28&gt;=6,IF(X28&gt;=20,"H","A"),IF(Z28&gt;=2,IF(X28&gt;=51,"H",IF(X28&lt;=19,"L","A")),IF(X28&lt;=50,"L","A"))))))),
IF('Dados da OS'!$D$8=Parâmetros!$B$6,"Indicativa",
IF('Dados da OS'!$D$8=Parâmetros!$B$5,"PFS","")))</f>
        <v/>
      </c>
      <c r="AF28" s="57">
        <f>IFERROR(VLOOKUP(W28,'Fatores de Impacto e INMs'!$A$3:$D$32,3,0),1)</f>
        <v>1</v>
      </c>
      <c r="AG28" s="57">
        <f>IFERROR(VLOOKUP(W28,'Fatores de Impacto e INMs'!$A$3:$E$32,5,0),1)</f>
        <v>1</v>
      </c>
      <c r="AH28" s="82" t="str">
        <f xml:space="preserve">
IF(OR('Dados da OS'!$D$8="Selecione o tipo da contagem",ISBLANK('Dados da OS'!$D$8),V28="INM",V28="N/A",ISBLANK(V28),ISBLANK(W28),AG28="VF"),"-",
   IF('Dados da OS'!$D$8=Parâmetros!$B$3,
      IF(OR(ISBLANK(X28),ISBLANK(Z28)),"-",
         IF(AE28="L","Baixa",IF(AE28="A","Média",IF(AE28="H","Alta","-")))),
      IF('Dados da OS'!$D$8=Parâmetros!$B$4,
         IF(OR(V28="ALI",V28="AIE"),"Baixa",IF(OR(V28="EE",V28="SE",V28="CE"),"Média","-")),
         IF(OR('Dados da OS'!$D$8=Parâmetros!$B$5,'Dados da OS'!$D$8=Parâmetros!$B$6),"-"))))</f>
        <v>-</v>
      </c>
      <c r="AI28" s="83" t="str">
        <f xml:space="preserve">
IF(OR(ISBLANK(V28),ISBLANK(U28),ISBLANK(W28),V28="N/A",ISBLANK('Dados da OS'!$D$8)),"",
   IF(OR('Dados da OS'!$D$8=Parâmetros!$B$3,'Dados da OS'!$D$8=Parâmetros!$B$4),
      IF(OR(AND(V28="INM",AG28&lt;&gt;"VF"),AND(AG28="VF",V28&lt;&gt;"INM")),"",
        IF(AND(V28="INM",AG28="VF"),IF(ISBLANK(AB28),"",AF28*AB28),
        IF('Dados da OS'!$D$8=Parâmetros!$B$4,
           IF(OR(V28="CE",V28="EE"),4,IF(V28="SE",5,IF(V28="ALI",7,IF(V28="AIE",5,"")))),
        IF('Dados da OS'!$D$8=Parâmetros!$B$3,
           IF(OR(ISBLANK(X28),ISBLANK(Z28)),"",
              IF(V28="ALI",IF(AE28="L",7,IF(AE28="A",10,15)),
                 IF(V28="AIE",IF(AE28="L",5,IF(AE28="A",7,10)),
                    IF(V28="SE",IF(AE28="L",4,IF(AE28="A",5,7)),
                       IF(OR(V28="EE",V28="CE"),IF(AE28="L",3,IF(AE28="A",4,6)),""))))))))),
   IF('Dados da OS'!$D$8=Parâmetros!$B$5,
      IF(OR(AND(V28="INM",AG28&lt;&gt;"VF"),AND(AG28="VF",V28&lt;&gt;"INM")),"",
         IF(V28="INM",IF(AG28="VF",AF28*AB28,""),
            IF(V28="PE",4.6,
            IF(V28="AL",7,"")))),
   IF('Dados da OS'!$D$8=Parâmetros!$B$6,
      IF(V28="ALI",35,IF(V28="AIE",15,"")),""))
    )
)</f>
        <v/>
      </c>
      <c r="AJ28" s="82" t="str">
        <f t="shared" si="8"/>
        <v/>
      </c>
      <c r="AK28" s="84"/>
      <c r="AL28" s="85" t="s">
        <v>21</v>
      </c>
      <c r="AM28" s="86"/>
      <c r="AN28" s="85"/>
      <c r="AO28" s="87"/>
      <c r="AP28" s="85"/>
      <c r="AQ28" s="86"/>
      <c r="AR28" s="85"/>
    </row>
    <row r="29" spans="1:44" ht="15.75" customHeight="1">
      <c r="A29" s="54" t="s">
        <v>261</v>
      </c>
      <c r="B29" s="100" t="s">
        <v>121</v>
      </c>
      <c r="C29" s="55" t="s">
        <v>56</v>
      </c>
      <c r="D29" s="55">
        <v>18</v>
      </c>
      <c r="E29" s="56" t="s">
        <v>262</v>
      </c>
      <c r="F29" s="55">
        <v>2</v>
      </c>
      <c r="G29" s="56" t="s">
        <v>263</v>
      </c>
      <c r="H29" s="55"/>
      <c r="I29" s="64"/>
      <c r="J29" s="57" t="str">
        <f t="shared" si="9"/>
        <v>EEH</v>
      </c>
      <c r="K29" s="57" t="str">
        <f t="shared" si="10"/>
        <v>EEA50H3</v>
      </c>
      <c r="L29" s="57" t="str">
        <f xml:space="preserve">
IF(OR('Dados da OS'!$D$8=Parâmetros!$B$3,'Dados da OS'!$D$8=Parâmetros!$B$4),
  IF(OR(ISBLANK(D29),ISBLANK(F29)),
     IF(OR(B29="ALI",B29="AIE"),"L",IF(ISBLANK(B29),"","A")),
     IF(B29="EE",IF(F29&gt;=3,IF(D29&gt;=5,"H","A"),
     IF(F29&gt;=2,IF(D29&gt;=16,"H",IF(D29&lt;=4,"L","A")),IF(D29&lt;=15,"L","A"))),
     IF(OR(B29="SE",B29="CE"),IF(F29&gt;=4,IF(D29&gt;=6,"H","A"),IF(F29&gt;=2,IF(D29&gt;=20,"H",IF(D29&lt;=5,"L","A")),IF(D29&lt;=19,"L","A"))),
     IF(OR(B29="ALI",B29="AIE"),IF(F29&gt;=6,IF(D29&gt;=20,"H","A"),IF(F29&gt;=2,IF(D29&gt;=51,"H",IF(D29&lt;=19,"L","A")),IF(D29&lt;=50,"L","A"))))))),
IF('Dados da OS'!$D$8=Parâmetros!$B$6,"Indicativa",
IF('Dados da OS'!$D$8=Parâmetros!$B$5,"PFS","")))</f>
        <v>H</v>
      </c>
      <c r="M29" s="57">
        <f>IFERROR(VLOOKUP(C29,'Fatores de Impacto e INMs'!$A$3:$D$32,3,0),1)</f>
        <v>0.5</v>
      </c>
      <c r="N29" s="57" t="str">
        <f>IFERROR(VLOOKUP(C29,'Fatores de Impacto e INMs'!$A$3:$E$32,5,0),1)</f>
        <v>VP</v>
      </c>
      <c r="O29" s="63" t="str">
        <f xml:space="preserve">
IF(OR('Dados da OS'!$D$8="Selecione o tipo da contagem",ISBLANK('Dados da OS'!$D$8),B29="INM",B29="N/A",ISBLANK(B29),ISBLANK(C29),N29="VF"),"-",
   IF('Dados da OS'!$D$8=Parâmetros!$B$3,
      IF(OR(ISBLANK(D29),ISBLANK(F29)),"-",
         IF(L29="L","Baixa",IF(L29="A","Média",IF(L29="H","Alta","-")))),
      IF('Dados da OS'!$D$8=Parâmetros!$B$4,
         IF(OR(B29="ALI",B29="AIE"),"Baixa",IF(OR(B29="EE",B29="SE",B29="CE"),"Média","-")),
         IF(OR('Dados da OS'!$D$8=Parâmetros!$B$5,'Dados da OS'!$D$8=Parâmetros!$B$6),"-"))))</f>
        <v>Alta</v>
      </c>
      <c r="P29" s="59">
        <f xml:space="preserve">
IF(OR(ISBLANK(B29),ISBLANK(C29),B29="N/A",ISBLANK('Dados da OS'!$D$8)),"",
   IF(OR('Dados da OS'!$D$8=Parâmetros!$B$3,'Dados da OS'!$D$8=Parâmetros!$B$4),
      IF(OR(AND(B29="INM",N29&lt;&gt;"VF"),AND(N29="VF",B29&lt;&gt;"INM")),"",
        IF(AND(B29="INM",N29="VF"),IF(ISBLANK(H29),"",M29*H29),
        IF('Dados da OS'!$D$8=Parâmetros!$B$4,
           IF(OR(B29="CE",B29="EE"),4,IF(B29="SE",5,IF(B29="ALI",7,IF(B29="AIE",5,"")))),
        IF('Dados da OS'!$D$8=Parâmetros!$B$3,
           IF(OR(ISBLANK(D29),ISBLANK(F29)),"",
              IF(B29="ALI",IF(L29="L",7,IF(L29="A",10,15)),
                 IF(B29="AIE",IF(L29="L",5,IF(L29="A",7,10)),
                    IF(B29="SE",IF(L29="L",4,IF(L29="A",5,7)),
                       IF(OR(B29="EE",B29="CE"),IF(L29="L",3,IF(L29="A",4,6)),""))))))))),
   IF('Dados da OS'!$D$8=Parâmetros!$B$5,
      IF(OR(AND(B29="INM",N29&lt;&gt;"VF"),AND(N29="VF",B29&lt;&gt;"INM")),"",
         IF(B29="INM",IF(N29="VF",M29*H29,""),
            IF(B29="PE",4.6,
            IF(B29="AL",7,"")))),
   IF('Dados da OS'!$D$8=Parâmetros!$B$6,
      IF(B29="ALI",35,IF(B29="AIE",15,"")),""))
    )
)</f>
        <v>6</v>
      </c>
      <c r="Q29" s="60">
        <f t="shared" si="5"/>
        <v>3</v>
      </c>
      <c r="R29" s="61"/>
      <c r="S29" s="62" t="s">
        <v>328</v>
      </c>
      <c r="T29" s="80" t="s">
        <v>21</v>
      </c>
      <c r="U29" s="215" t="s">
        <v>214</v>
      </c>
      <c r="V29" s="99" t="s">
        <v>121</v>
      </c>
      <c r="W29" s="55" t="s">
        <v>56</v>
      </c>
      <c r="X29" s="55">
        <v>18</v>
      </c>
      <c r="Y29" s="56" t="s">
        <v>262</v>
      </c>
      <c r="Z29" s="55">
        <v>2</v>
      </c>
      <c r="AA29" s="56" t="s">
        <v>263</v>
      </c>
      <c r="AB29" s="55"/>
      <c r="AC29" s="57" t="str">
        <f t="shared" si="6"/>
        <v>EEH</v>
      </c>
      <c r="AD29" s="57" t="str">
        <f t="shared" si="7"/>
        <v>EEA50H3</v>
      </c>
      <c r="AE29" s="57" t="str">
        <f xml:space="preserve">
IF(OR('Dados da OS'!$D$8=Parâmetros!$B$3,'Dados da OS'!$D$8=Parâmetros!$B$4),
  IF(OR(ISBLANK(X29),ISBLANK(Z29)),
     IF(OR(V29="ALI",V29="AIE"),"L",IF(ISBLANK(V29),"","A")),
     IF(V29="EE",IF(Z29&gt;=3,IF(X29&gt;=5,"H","A"),
     IF(Z29&gt;=2,IF(X29&gt;=16,"H",IF(X29&lt;=4,"L","A")),IF(X29&lt;=15,"L","A"))),
     IF(OR(V29="SE",V29="CE"),IF(Z29&gt;=4,IF(X29&gt;=6,"H","A"),IF(Z29&gt;=2,IF(X29&gt;=20,"H",IF(X29&lt;=5,"L","A")),IF(X29&lt;=19,"L","A"))),
     IF(OR(V29="ALI",V29="AIE"),IF(Z29&gt;=6,IF(X29&gt;=20,"H","A"),IF(Z29&gt;=2,IF(X29&gt;=51,"H",IF(X29&lt;=19,"L","A")),IF(X29&lt;=50,"L","A"))))))),
IF('Dados da OS'!$D$8=Parâmetros!$B$6,"Indicativa",
IF('Dados da OS'!$D$8=Parâmetros!$B$5,"PFS","")))</f>
        <v>H</v>
      </c>
      <c r="AF29" s="57">
        <f>IFERROR(VLOOKUP(W29,'Fatores de Impacto e INMs'!$A$3:$D$32,3,0),1)</f>
        <v>0.5</v>
      </c>
      <c r="AG29" s="57" t="str">
        <f>IFERROR(VLOOKUP(W29,'Fatores de Impacto e INMs'!$A$3:$E$32,5,0),1)</f>
        <v>VP</v>
      </c>
      <c r="AH29" s="82" t="str">
        <f xml:space="preserve">
IF(OR('Dados da OS'!$D$8="Selecione o tipo da contagem",ISBLANK('Dados da OS'!$D$8),V29="INM",V29="N/A",ISBLANK(V29),ISBLANK(W29),AG29="VF"),"-",
   IF('Dados da OS'!$D$8=Parâmetros!$B$3,
      IF(OR(ISBLANK(X29),ISBLANK(Z29)),"-",
         IF(AE29="L","Baixa",IF(AE29="A","Média",IF(AE29="H","Alta","-")))),
      IF('Dados da OS'!$D$8=Parâmetros!$B$4,
         IF(OR(V29="ALI",V29="AIE"),"Baixa",IF(OR(V29="EE",V29="SE",V29="CE"),"Média","-")),
         IF(OR('Dados da OS'!$D$8=Parâmetros!$B$5,'Dados da OS'!$D$8=Parâmetros!$B$6),"-"))))</f>
        <v>Alta</v>
      </c>
      <c r="AI29" s="83">
        <f xml:space="preserve">
IF(OR(ISBLANK(V29),ISBLANK(U29),ISBLANK(W29),V29="N/A",ISBLANK('Dados da OS'!$D$8)),"",
   IF(OR('Dados da OS'!$D$8=Parâmetros!$B$3,'Dados da OS'!$D$8=Parâmetros!$B$4),
      IF(OR(AND(V29="INM",AG29&lt;&gt;"VF"),AND(AG29="VF",V29&lt;&gt;"INM")),"",
        IF(AND(V29="INM",AG29="VF"),IF(ISBLANK(AB29),"",AF29*AB29),
        IF('Dados da OS'!$D$8=Parâmetros!$B$4,
           IF(OR(V29="CE",V29="EE"),4,IF(V29="SE",5,IF(V29="ALI",7,IF(V29="AIE",5,"")))),
        IF('Dados da OS'!$D$8=Parâmetros!$B$3,
           IF(OR(ISBLANK(X29),ISBLANK(Z29)),"",
              IF(V29="ALI",IF(AE29="L",7,IF(AE29="A",10,15)),
                 IF(V29="AIE",IF(AE29="L",5,IF(AE29="A",7,10)),
                    IF(V29="SE",IF(AE29="L",4,IF(AE29="A",5,7)),
                       IF(OR(V29="EE",V29="CE"),IF(AE29="L",3,IF(AE29="A",4,6)),""))))))))),
   IF('Dados da OS'!$D$8=Parâmetros!$B$5,
      IF(OR(AND(V29="INM",AG29&lt;&gt;"VF"),AND(AG29="VF",V29&lt;&gt;"INM")),"",
         IF(V29="INM",IF(AG29="VF",AF29*AB29,""),
            IF(V29="PE",4.6,
            IF(V29="AL",7,"")))),
   IF('Dados da OS'!$D$8=Parâmetros!$B$6,
      IF(V29="ALI",35,IF(V29="AIE",15,"")),""))
    )
)</f>
        <v>6</v>
      </c>
      <c r="AJ29" s="82">
        <f t="shared" si="8"/>
        <v>3</v>
      </c>
      <c r="AK29" s="84"/>
      <c r="AL29" s="85" t="s">
        <v>21</v>
      </c>
      <c r="AM29" s="86"/>
      <c r="AN29" s="85"/>
      <c r="AO29" s="87"/>
      <c r="AP29" s="85"/>
      <c r="AQ29" s="86"/>
      <c r="AR29" s="85"/>
    </row>
    <row r="30" spans="1:44" ht="15.75" customHeight="1">
      <c r="A30" s="54" t="s">
        <v>264</v>
      </c>
      <c r="B30" s="100"/>
      <c r="C30" s="55"/>
      <c r="D30" s="55"/>
      <c r="E30" s="56"/>
      <c r="F30" s="55"/>
      <c r="G30" s="56"/>
      <c r="H30" s="55"/>
      <c r="I30" s="64"/>
      <c r="J30" s="57" t="str">
        <f t="shared" si="9"/>
        <v/>
      </c>
      <c r="K30" s="57" t="str">
        <f t="shared" si="10"/>
        <v/>
      </c>
      <c r="L30" s="57" t="str">
        <f xml:space="preserve">
IF(OR('Dados da OS'!$D$8=Parâmetros!$B$3,'Dados da OS'!$D$8=Parâmetros!$B$4),
  IF(OR(ISBLANK(D30),ISBLANK(F30)),
     IF(OR(B30="ALI",B30="AIE"),"L",IF(ISBLANK(B30),"","A")),
     IF(B30="EE",IF(F30&gt;=3,IF(D30&gt;=5,"H","A"),
     IF(F30&gt;=2,IF(D30&gt;=16,"H",IF(D30&lt;=4,"L","A")),IF(D30&lt;=15,"L","A"))),
     IF(OR(B30="SE",B30="CE"),IF(F30&gt;=4,IF(D30&gt;=6,"H","A"),IF(F30&gt;=2,IF(D30&gt;=20,"H",IF(D30&lt;=5,"L","A")),IF(D30&lt;=19,"L","A"))),
     IF(OR(B30="ALI",B30="AIE"),IF(F30&gt;=6,IF(D30&gt;=20,"H","A"),IF(F30&gt;=2,IF(D30&gt;=51,"H",IF(D30&lt;=19,"L","A")),IF(D30&lt;=50,"L","A"))))))),
IF('Dados da OS'!$D$8=Parâmetros!$B$6,"Indicativa",
IF('Dados da OS'!$D$8=Parâmetros!$B$5,"PFS","")))</f>
        <v/>
      </c>
      <c r="M30" s="57">
        <f>IFERROR(VLOOKUP(C30,'Fatores de Impacto e INMs'!$A$3:$D$32,3,0),1)</f>
        <v>1</v>
      </c>
      <c r="N30" s="57">
        <f>IFERROR(VLOOKUP(C30,'Fatores de Impacto e INMs'!$A$3:$E$32,5,0),1)</f>
        <v>1</v>
      </c>
      <c r="O30" s="63" t="str">
        <f xml:space="preserve">
IF(OR('Dados da OS'!$D$8="Selecione o tipo da contagem",ISBLANK('Dados da OS'!$D$8),B30="INM",B30="N/A",ISBLANK(B30),ISBLANK(C30),N30="VF"),"-",
   IF('Dados da OS'!$D$8=Parâmetros!$B$3,
      IF(OR(ISBLANK(D30),ISBLANK(F30)),"-",
         IF(L30="L","Baixa",IF(L30="A","Média",IF(L30="H","Alta","-")))),
      IF('Dados da OS'!$D$8=Parâmetros!$B$4,
         IF(OR(B30="ALI",B30="AIE"),"Baixa",IF(OR(B30="EE",B30="SE",B30="CE"),"Média","-")),
         IF(OR('Dados da OS'!$D$8=Parâmetros!$B$5,'Dados da OS'!$D$8=Parâmetros!$B$6),"-"))))</f>
        <v>-</v>
      </c>
      <c r="P30" s="59" t="str">
        <f xml:space="preserve">
IF(OR(ISBLANK(B30),ISBLANK(C30),B30="N/A",ISBLANK('Dados da OS'!$D$8)),"",
   IF(OR('Dados da OS'!$D$8=Parâmetros!$B$3,'Dados da OS'!$D$8=Parâmetros!$B$4),
      IF(OR(AND(B30="INM",N30&lt;&gt;"VF"),AND(N30="VF",B30&lt;&gt;"INM")),"",
        IF(AND(B30="INM",N30="VF"),IF(ISBLANK(H30),"",M30*H30),
        IF('Dados da OS'!$D$8=Parâmetros!$B$4,
           IF(OR(B30="CE",B30="EE"),4,IF(B30="SE",5,IF(B30="ALI",7,IF(B30="AIE",5,"")))),
        IF('Dados da OS'!$D$8=Parâmetros!$B$3,
           IF(OR(ISBLANK(D30),ISBLANK(F30)),"",
              IF(B30="ALI",IF(L30="L",7,IF(L30="A",10,15)),
                 IF(B30="AIE",IF(L30="L",5,IF(L30="A",7,10)),
                    IF(B30="SE",IF(L30="L",4,IF(L30="A",5,7)),
                       IF(OR(B30="EE",B30="CE"),IF(L30="L",3,IF(L30="A",4,6)),""))))))))),
   IF('Dados da OS'!$D$8=Parâmetros!$B$5,
      IF(OR(AND(B30="INM",N30&lt;&gt;"VF"),AND(N30="VF",B30&lt;&gt;"INM")),"",
         IF(B30="INM",IF(N30="VF",M30*H30,""),
            IF(B30="PE",4.6,
            IF(B30="AL",7,"")))),
   IF('Dados da OS'!$D$8=Parâmetros!$B$6,
      IF(B30="ALI",35,IF(B30="AIE",15,"")),""))
    )
)</f>
        <v/>
      </c>
      <c r="Q30" s="60" t="str">
        <f t="shared" si="5"/>
        <v/>
      </c>
      <c r="R30" s="61"/>
      <c r="S30" s="62"/>
      <c r="T30" s="80" t="s">
        <v>21</v>
      </c>
      <c r="U30" s="215"/>
      <c r="V30" s="99"/>
      <c r="W30" s="55"/>
      <c r="X30" s="55"/>
      <c r="Y30" s="56"/>
      <c r="Z30" s="55"/>
      <c r="AA30" s="56"/>
      <c r="AB30" s="55"/>
      <c r="AC30" s="57" t="str">
        <f t="shared" si="6"/>
        <v/>
      </c>
      <c r="AD30" s="57" t="str">
        <f t="shared" si="7"/>
        <v/>
      </c>
      <c r="AE30" s="57" t="str">
        <f xml:space="preserve">
IF(OR('Dados da OS'!$D$8=Parâmetros!$B$3,'Dados da OS'!$D$8=Parâmetros!$B$4),
  IF(OR(ISBLANK(X30),ISBLANK(Z30)),
     IF(OR(V30="ALI",V30="AIE"),"L",IF(ISBLANK(V30),"","A")),
     IF(V30="EE",IF(Z30&gt;=3,IF(X30&gt;=5,"H","A"),
     IF(Z30&gt;=2,IF(X30&gt;=16,"H",IF(X30&lt;=4,"L","A")),IF(X30&lt;=15,"L","A"))),
     IF(OR(V30="SE",V30="CE"),IF(Z30&gt;=4,IF(X30&gt;=6,"H","A"),IF(Z30&gt;=2,IF(X30&gt;=20,"H",IF(X30&lt;=5,"L","A")),IF(X30&lt;=19,"L","A"))),
     IF(OR(V30="ALI",V30="AIE"),IF(Z30&gt;=6,IF(X30&gt;=20,"H","A"),IF(Z30&gt;=2,IF(X30&gt;=51,"H",IF(X30&lt;=19,"L","A")),IF(X30&lt;=50,"L","A"))))))),
IF('Dados da OS'!$D$8=Parâmetros!$B$6,"Indicativa",
IF('Dados da OS'!$D$8=Parâmetros!$B$5,"PFS","")))</f>
        <v/>
      </c>
      <c r="AF30" s="57">
        <f>IFERROR(VLOOKUP(W30,'Fatores de Impacto e INMs'!$A$3:$D$32,3,0),1)</f>
        <v>1</v>
      </c>
      <c r="AG30" s="57">
        <f>IFERROR(VLOOKUP(W30,'Fatores de Impacto e INMs'!$A$3:$E$32,5,0),1)</f>
        <v>1</v>
      </c>
      <c r="AH30" s="82" t="str">
        <f xml:space="preserve">
IF(OR('Dados da OS'!$D$8="Selecione o tipo da contagem",ISBLANK('Dados da OS'!$D$8),V30="INM",V30="N/A",ISBLANK(V30),ISBLANK(W30),AG30="VF"),"-",
   IF('Dados da OS'!$D$8=Parâmetros!$B$3,
      IF(OR(ISBLANK(X30),ISBLANK(Z30)),"-",
         IF(AE30="L","Baixa",IF(AE30="A","Média",IF(AE30="H","Alta","-")))),
      IF('Dados da OS'!$D$8=Parâmetros!$B$4,
         IF(OR(V30="ALI",V30="AIE"),"Baixa",IF(OR(V30="EE",V30="SE",V30="CE"),"Média","-")),
         IF(OR('Dados da OS'!$D$8=Parâmetros!$B$5,'Dados da OS'!$D$8=Parâmetros!$B$6),"-"))))</f>
        <v>-</v>
      </c>
      <c r="AI30" s="83" t="str">
        <f xml:space="preserve">
IF(OR(ISBLANK(V30),ISBLANK(U30),ISBLANK(W30),V30="N/A",ISBLANK('Dados da OS'!$D$8)),"",
   IF(OR('Dados da OS'!$D$8=Parâmetros!$B$3,'Dados da OS'!$D$8=Parâmetros!$B$4),
      IF(OR(AND(V30="INM",AG30&lt;&gt;"VF"),AND(AG30="VF",V30&lt;&gt;"INM")),"",
        IF(AND(V30="INM",AG30="VF"),IF(ISBLANK(AB30),"",AF30*AB30),
        IF('Dados da OS'!$D$8=Parâmetros!$B$4,
           IF(OR(V30="CE",V30="EE"),4,IF(V30="SE",5,IF(V30="ALI",7,IF(V30="AIE",5,"")))),
        IF('Dados da OS'!$D$8=Parâmetros!$B$3,
           IF(OR(ISBLANK(X30),ISBLANK(Z30)),"",
              IF(V30="ALI",IF(AE30="L",7,IF(AE30="A",10,15)),
                 IF(V30="AIE",IF(AE30="L",5,IF(AE30="A",7,10)),
                    IF(V30="SE",IF(AE30="L",4,IF(AE30="A",5,7)),
                       IF(OR(V30="EE",V30="CE"),IF(AE30="L",3,IF(AE30="A",4,6)),""))))))))),
   IF('Dados da OS'!$D$8=Parâmetros!$B$5,
      IF(OR(AND(V30="INM",AG30&lt;&gt;"VF"),AND(AG30="VF",V30&lt;&gt;"INM")),"",
         IF(V30="INM",IF(AG30="VF",AF30*AB30,""),
            IF(V30="PE",4.6,
            IF(V30="AL",7,"")))),
   IF('Dados da OS'!$D$8=Parâmetros!$B$6,
      IF(V30="ALI",35,IF(V30="AIE",15,"")),""))
    )
)</f>
        <v/>
      </c>
      <c r="AJ30" s="82" t="str">
        <f t="shared" si="8"/>
        <v/>
      </c>
      <c r="AK30" s="84"/>
      <c r="AL30" s="85" t="s">
        <v>21</v>
      </c>
      <c r="AM30" s="86"/>
      <c r="AN30" s="85"/>
      <c r="AO30" s="87"/>
      <c r="AP30" s="85"/>
      <c r="AQ30" s="86"/>
      <c r="AR30" s="85"/>
    </row>
    <row r="31" spans="1:44" ht="15.75" customHeight="1">
      <c r="A31" s="54" t="s">
        <v>265</v>
      </c>
      <c r="B31" s="100" t="s">
        <v>121</v>
      </c>
      <c r="C31" s="55" t="s">
        <v>56</v>
      </c>
      <c r="D31" s="55">
        <v>11</v>
      </c>
      <c r="E31" s="56" t="s">
        <v>266</v>
      </c>
      <c r="F31" s="55">
        <v>4</v>
      </c>
      <c r="G31" s="56" t="s">
        <v>267</v>
      </c>
      <c r="H31" s="55"/>
      <c r="I31" s="64"/>
      <c r="J31" s="57" t="str">
        <f t="shared" si="9"/>
        <v>EEH</v>
      </c>
      <c r="K31" s="57" t="str">
        <f t="shared" si="10"/>
        <v>EEA50H3</v>
      </c>
      <c r="L31" s="57" t="str">
        <f xml:space="preserve">
IF(OR('Dados da OS'!$D$8=Parâmetros!$B$3,'Dados da OS'!$D$8=Parâmetros!$B$4),
  IF(OR(ISBLANK(D31),ISBLANK(F31)),
     IF(OR(B31="ALI",B31="AIE"),"L",IF(ISBLANK(B31),"","A")),
     IF(B31="EE",IF(F31&gt;=3,IF(D31&gt;=5,"H","A"),
     IF(F31&gt;=2,IF(D31&gt;=16,"H",IF(D31&lt;=4,"L","A")),IF(D31&lt;=15,"L","A"))),
     IF(OR(B31="SE",B31="CE"),IF(F31&gt;=4,IF(D31&gt;=6,"H","A"),IF(F31&gt;=2,IF(D31&gt;=20,"H",IF(D31&lt;=5,"L","A")),IF(D31&lt;=19,"L","A"))),
     IF(OR(B31="ALI",B31="AIE"),IF(F31&gt;=6,IF(D31&gt;=20,"H","A"),IF(F31&gt;=2,IF(D31&gt;=51,"H",IF(D31&lt;=19,"L","A")),IF(D31&lt;=50,"L","A"))))))),
IF('Dados da OS'!$D$8=Parâmetros!$B$6,"Indicativa",
IF('Dados da OS'!$D$8=Parâmetros!$B$5,"PFS","")))</f>
        <v>H</v>
      </c>
      <c r="M31" s="57">
        <f>IFERROR(VLOOKUP(C31,'Fatores de Impacto e INMs'!$A$3:$D$32,3,0),1)</f>
        <v>0.5</v>
      </c>
      <c r="N31" s="57" t="str">
        <f>IFERROR(VLOOKUP(C31,'Fatores de Impacto e INMs'!$A$3:$E$32,5,0),1)</f>
        <v>VP</v>
      </c>
      <c r="O31" s="63" t="str">
        <f xml:space="preserve">
IF(OR('Dados da OS'!$D$8="Selecione o tipo da contagem",ISBLANK('Dados da OS'!$D$8),B31="INM",B31="N/A",ISBLANK(B31),ISBLANK(C31),N31="VF"),"-",
   IF('Dados da OS'!$D$8=Parâmetros!$B$3,
      IF(OR(ISBLANK(D31),ISBLANK(F31)),"-",
         IF(L31="L","Baixa",IF(L31="A","Média",IF(L31="H","Alta","-")))),
      IF('Dados da OS'!$D$8=Parâmetros!$B$4,
         IF(OR(B31="ALI",B31="AIE"),"Baixa",IF(OR(B31="EE",B31="SE",B31="CE"),"Média","-")),
         IF(OR('Dados da OS'!$D$8=Parâmetros!$B$5,'Dados da OS'!$D$8=Parâmetros!$B$6),"-"))))</f>
        <v>Alta</v>
      </c>
      <c r="P31" s="59">
        <f xml:space="preserve">
IF(OR(ISBLANK(B31),ISBLANK(C31),B31="N/A",ISBLANK('Dados da OS'!$D$8)),"",
   IF(OR('Dados da OS'!$D$8=Parâmetros!$B$3,'Dados da OS'!$D$8=Parâmetros!$B$4),
      IF(OR(AND(B31="INM",N31&lt;&gt;"VF"),AND(N31="VF",B31&lt;&gt;"INM")),"",
        IF(AND(B31="INM",N31="VF"),IF(ISBLANK(H31),"",M31*H31),
        IF('Dados da OS'!$D$8=Parâmetros!$B$4,
           IF(OR(B31="CE",B31="EE"),4,IF(B31="SE",5,IF(B31="ALI",7,IF(B31="AIE",5,"")))),
        IF('Dados da OS'!$D$8=Parâmetros!$B$3,
           IF(OR(ISBLANK(D31),ISBLANK(F31)),"",
              IF(B31="ALI",IF(L31="L",7,IF(L31="A",10,15)),
                 IF(B31="AIE",IF(L31="L",5,IF(L31="A",7,10)),
                    IF(B31="SE",IF(L31="L",4,IF(L31="A",5,7)),
                       IF(OR(B31="EE",B31="CE"),IF(L31="L",3,IF(L31="A",4,6)),""))))))))),
   IF('Dados da OS'!$D$8=Parâmetros!$B$5,
      IF(OR(AND(B31="INM",N31&lt;&gt;"VF"),AND(N31="VF",B31&lt;&gt;"INM")),"",
         IF(B31="INM",IF(N31="VF",M31*H31,""),
            IF(B31="PE",4.6,
            IF(B31="AL",7,"")))),
   IF('Dados da OS'!$D$8=Parâmetros!$B$6,
      IF(B31="ALI",35,IF(B31="AIE",15,"")),""))
    )
)</f>
        <v>6</v>
      </c>
      <c r="Q31" s="60">
        <f t="shared" si="5"/>
        <v>3</v>
      </c>
      <c r="R31" s="61"/>
      <c r="S31" s="62" t="s">
        <v>329</v>
      </c>
      <c r="T31" s="80" t="s">
        <v>21</v>
      </c>
      <c r="U31" s="215" t="s">
        <v>214</v>
      </c>
      <c r="V31" s="99" t="s">
        <v>121</v>
      </c>
      <c r="W31" s="55" t="s">
        <v>56</v>
      </c>
      <c r="X31" s="55">
        <v>11</v>
      </c>
      <c r="Y31" s="56" t="s">
        <v>266</v>
      </c>
      <c r="Z31" s="55">
        <v>4</v>
      </c>
      <c r="AA31" s="56" t="s">
        <v>267</v>
      </c>
      <c r="AB31" s="55"/>
      <c r="AC31" s="57" t="str">
        <f t="shared" si="6"/>
        <v>EEH</v>
      </c>
      <c r="AD31" s="57" t="str">
        <f t="shared" si="7"/>
        <v>EEA50H3</v>
      </c>
      <c r="AE31" s="57" t="str">
        <f xml:space="preserve">
IF(OR('Dados da OS'!$D$8=Parâmetros!$B$3,'Dados da OS'!$D$8=Parâmetros!$B$4),
  IF(OR(ISBLANK(X31),ISBLANK(Z31)),
     IF(OR(V31="ALI",V31="AIE"),"L",IF(ISBLANK(V31),"","A")),
     IF(V31="EE",IF(Z31&gt;=3,IF(X31&gt;=5,"H","A"),
     IF(Z31&gt;=2,IF(X31&gt;=16,"H",IF(X31&lt;=4,"L","A")),IF(X31&lt;=15,"L","A"))),
     IF(OR(V31="SE",V31="CE"),IF(Z31&gt;=4,IF(X31&gt;=6,"H","A"),IF(Z31&gt;=2,IF(X31&gt;=20,"H",IF(X31&lt;=5,"L","A")),IF(X31&lt;=19,"L","A"))),
     IF(OR(V31="ALI",V31="AIE"),IF(Z31&gt;=6,IF(X31&gt;=20,"H","A"),IF(Z31&gt;=2,IF(X31&gt;=51,"H",IF(X31&lt;=19,"L","A")),IF(X31&lt;=50,"L","A"))))))),
IF('Dados da OS'!$D$8=Parâmetros!$B$6,"Indicativa",
IF('Dados da OS'!$D$8=Parâmetros!$B$5,"PFS","")))</f>
        <v>H</v>
      </c>
      <c r="AF31" s="57">
        <f>IFERROR(VLOOKUP(W31,'Fatores de Impacto e INMs'!$A$3:$D$32,3,0),1)</f>
        <v>0.5</v>
      </c>
      <c r="AG31" s="57" t="str">
        <f>IFERROR(VLOOKUP(W31,'Fatores de Impacto e INMs'!$A$3:$E$32,5,0),1)</f>
        <v>VP</v>
      </c>
      <c r="AH31" s="82" t="str">
        <f xml:space="preserve">
IF(OR('Dados da OS'!$D$8="Selecione o tipo da contagem",ISBLANK('Dados da OS'!$D$8),V31="INM",V31="N/A",ISBLANK(V31),ISBLANK(W31),AG31="VF"),"-",
   IF('Dados da OS'!$D$8=Parâmetros!$B$3,
      IF(OR(ISBLANK(X31),ISBLANK(Z31)),"-",
         IF(AE31="L","Baixa",IF(AE31="A","Média",IF(AE31="H","Alta","-")))),
      IF('Dados da OS'!$D$8=Parâmetros!$B$4,
         IF(OR(V31="ALI",V31="AIE"),"Baixa",IF(OR(V31="EE",V31="SE",V31="CE"),"Média","-")),
         IF(OR('Dados da OS'!$D$8=Parâmetros!$B$5,'Dados da OS'!$D$8=Parâmetros!$B$6),"-"))))</f>
        <v>Alta</v>
      </c>
      <c r="AI31" s="83">
        <f xml:space="preserve">
IF(OR(ISBLANK(V31),ISBLANK(U31),ISBLANK(W31),V31="N/A",ISBLANK('Dados da OS'!$D$8)),"",
   IF(OR('Dados da OS'!$D$8=Parâmetros!$B$3,'Dados da OS'!$D$8=Parâmetros!$B$4),
      IF(OR(AND(V31="INM",AG31&lt;&gt;"VF"),AND(AG31="VF",V31&lt;&gt;"INM")),"",
        IF(AND(V31="INM",AG31="VF"),IF(ISBLANK(AB31),"",AF31*AB31),
        IF('Dados da OS'!$D$8=Parâmetros!$B$4,
           IF(OR(V31="CE",V31="EE"),4,IF(V31="SE",5,IF(V31="ALI",7,IF(V31="AIE",5,"")))),
        IF('Dados da OS'!$D$8=Parâmetros!$B$3,
           IF(OR(ISBLANK(X31),ISBLANK(Z31)),"",
              IF(V31="ALI",IF(AE31="L",7,IF(AE31="A",10,15)),
                 IF(V31="AIE",IF(AE31="L",5,IF(AE31="A",7,10)),
                    IF(V31="SE",IF(AE31="L",4,IF(AE31="A",5,7)),
                       IF(OR(V31="EE",V31="CE"),IF(AE31="L",3,IF(AE31="A",4,6)),""))))))))),
   IF('Dados da OS'!$D$8=Parâmetros!$B$5,
      IF(OR(AND(V31="INM",AG31&lt;&gt;"VF"),AND(AG31="VF",V31&lt;&gt;"INM")),"",
         IF(V31="INM",IF(AG31="VF",AF31*AB31,""),
            IF(V31="PE",4.6,
            IF(V31="AL",7,"")))),
   IF('Dados da OS'!$D$8=Parâmetros!$B$6,
      IF(V31="ALI",35,IF(V31="AIE",15,"")),""))
    )
)</f>
        <v>6</v>
      </c>
      <c r="AJ31" s="82">
        <f t="shared" si="8"/>
        <v>3</v>
      </c>
      <c r="AK31" s="84"/>
      <c r="AL31" s="85" t="s">
        <v>21</v>
      </c>
      <c r="AM31" s="86"/>
      <c r="AN31" s="85"/>
      <c r="AO31" s="87"/>
      <c r="AP31" s="85"/>
      <c r="AQ31" s="86"/>
      <c r="AR31" s="85"/>
    </row>
    <row r="32" spans="1:44" ht="15.75" customHeight="1">
      <c r="A32" s="54" t="s">
        <v>268</v>
      </c>
      <c r="B32" s="100" t="s">
        <v>121</v>
      </c>
      <c r="C32" s="55" t="s">
        <v>56</v>
      </c>
      <c r="D32" s="55">
        <v>11</v>
      </c>
      <c r="E32" s="56" t="s">
        <v>266</v>
      </c>
      <c r="F32" s="55">
        <v>4</v>
      </c>
      <c r="G32" s="56" t="s">
        <v>267</v>
      </c>
      <c r="H32" s="55"/>
      <c r="I32" s="64"/>
      <c r="J32" s="57" t="str">
        <f t="shared" si="9"/>
        <v>EEH</v>
      </c>
      <c r="K32" s="57" t="str">
        <f t="shared" si="10"/>
        <v>EEA50H3</v>
      </c>
      <c r="L32" s="57" t="str">
        <f xml:space="preserve">
IF(OR('Dados da OS'!$D$8=Parâmetros!$B$3,'Dados da OS'!$D$8=Parâmetros!$B$4),
  IF(OR(ISBLANK(D32),ISBLANK(F32)),
     IF(OR(B32="ALI",B32="AIE"),"L",IF(ISBLANK(B32),"","A")),
     IF(B32="EE",IF(F32&gt;=3,IF(D32&gt;=5,"H","A"),
     IF(F32&gt;=2,IF(D32&gt;=16,"H",IF(D32&lt;=4,"L","A")),IF(D32&lt;=15,"L","A"))),
     IF(OR(B32="SE",B32="CE"),IF(F32&gt;=4,IF(D32&gt;=6,"H","A"),IF(F32&gt;=2,IF(D32&gt;=20,"H",IF(D32&lt;=5,"L","A")),IF(D32&lt;=19,"L","A"))),
     IF(OR(B32="ALI",B32="AIE"),IF(F32&gt;=6,IF(D32&gt;=20,"H","A"),IF(F32&gt;=2,IF(D32&gt;=51,"H",IF(D32&lt;=19,"L","A")),IF(D32&lt;=50,"L","A"))))))),
IF('Dados da OS'!$D$8=Parâmetros!$B$6,"Indicativa",
IF('Dados da OS'!$D$8=Parâmetros!$B$5,"PFS","")))</f>
        <v>H</v>
      </c>
      <c r="M32" s="57">
        <f>IFERROR(VLOOKUP(C32,'Fatores de Impacto e INMs'!$A$3:$D$32,3,0),1)</f>
        <v>0.5</v>
      </c>
      <c r="N32" s="57" t="str">
        <f>IFERROR(VLOOKUP(C32,'Fatores de Impacto e INMs'!$A$3:$E$32,5,0),1)</f>
        <v>VP</v>
      </c>
      <c r="O32" s="63" t="str">
        <f xml:space="preserve">
IF(OR('Dados da OS'!$D$8="Selecione o tipo da contagem",ISBLANK('Dados da OS'!$D$8),B32="INM",B32="N/A",ISBLANK(B32),ISBLANK(C32),N32="VF"),"-",
   IF('Dados da OS'!$D$8=Parâmetros!$B$3,
      IF(OR(ISBLANK(D32),ISBLANK(F32)),"-",
         IF(L32="L","Baixa",IF(L32="A","Média",IF(L32="H","Alta","-")))),
      IF('Dados da OS'!$D$8=Parâmetros!$B$4,
         IF(OR(B32="ALI",B32="AIE"),"Baixa",IF(OR(B32="EE",B32="SE",B32="CE"),"Média","-")),
         IF(OR('Dados da OS'!$D$8=Parâmetros!$B$5,'Dados da OS'!$D$8=Parâmetros!$B$6),"-"))))</f>
        <v>Alta</v>
      </c>
      <c r="P32" s="59">
        <f xml:space="preserve">
IF(OR(ISBLANK(B32),ISBLANK(C32),B32="N/A",ISBLANK('Dados da OS'!$D$8)),"",
   IF(OR('Dados da OS'!$D$8=Parâmetros!$B$3,'Dados da OS'!$D$8=Parâmetros!$B$4),
      IF(OR(AND(B32="INM",N32&lt;&gt;"VF"),AND(N32="VF",B32&lt;&gt;"INM")),"",
        IF(AND(B32="INM",N32="VF"),IF(ISBLANK(H32),"",M32*H32),
        IF('Dados da OS'!$D$8=Parâmetros!$B$4,
           IF(OR(B32="CE",B32="EE"),4,IF(B32="SE",5,IF(B32="ALI",7,IF(B32="AIE",5,"")))),
        IF('Dados da OS'!$D$8=Parâmetros!$B$3,
           IF(OR(ISBLANK(D32),ISBLANK(F32)),"",
              IF(B32="ALI",IF(L32="L",7,IF(L32="A",10,15)),
                 IF(B32="AIE",IF(L32="L",5,IF(L32="A",7,10)),
                    IF(B32="SE",IF(L32="L",4,IF(L32="A",5,7)),
                       IF(OR(B32="EE",B32="CE"),IF(L32="L",3,IF(L32="A",4,6)),""))))))))),
   IF('Dados da OS'!$D$8=Parâmetros!$B$5,
      IF(OR(AND(B32="INM",N32&lt;&gt;"VF"),AND(N32="VF",B32&lt;&gt;"INM")),"",
         IF(B32="INM",IF(N32="VF",M32*H32,""),
            IF(B32="PE",4.6,
            IF(B32="AL",7,"")))),
   IF('Dados da OS'!$D$8=Parâmetros!$B$6,
      IF(B32="ALI",35,IF(B32="AIE",15,"")),""))
    )
)</f>
        <v>6</v>
      </c>
      <c r="Q32" s="60">
        <f t="shared" si="5"/>
        <v>3</v>
      </c>
      <c r="R32" s="61"/>
      <c r="S32" s="62" t="s">
        <v>329</v>
      </c>
      <c r="T32" s="80" t="s">
        <v>21</v>
      </c>
      <c r="U32" s="215" t="s">
        <v>214</v>
      </c>
      <c r="V32" s="99" t="s">
        <v>121</v>
      </c>
      <c r="W32" s="55" t="s">
        <v>56</v>
      </c>
      <c r="X32" s="55">
        <v>11</v>
      </c>
      <c r="Y32" s="56" t="s">
        <v>266</v>
      </c>
      <c r="Z32" s="55">
        <v>4</v>
      </c>
      <c r="AA32" s="56" t="s">
        <v>267</v>
      </c>
      <c r="AB32" s="55"/>
      <c r="AC32" s="57" t="str">
        <f t="shared" si="6"/>
        <v>EEH</v>
      </c>
      <c r="AD32" s="57" t="str">
        <f t="shared" si="7"/>
        <v>EEA50H3</v>
      </c>
      <c r="AE32" s="57" t="str">
        <f xml:space="preserve">
IF(OR('Dados da OS'!$D$8=Parâmetros!$B$3,'Dados da OS'!$D$8=Parâmetros!$B$4),
  IF(OR(ISBLANK(X32),ISBLANK(Z32)),
     IF(OR(V32="ALI",V32="AIE"),"L",IF(ISBLANK(V32),"","A")),
     IF(V32="EE",IF(Z32&gt;=3,IF(X32&gt;=5,"H","A"),
     IF(Z32&gt;=2,IF(X32&gt;=16,"H",IF(X32&lt;=4,"L","A")),IF(X32&lt;=15,"L","A"))),
     IF(OR(V32="SE",V32="CE"),IF(Z32&gt;=4,IF(X32&gt;=6,"H","A"),IF(Z32&gt;=2,IF(X32&gt;=20,"H",IF(X32&lt;=5,"L","A")),IF(X32&lt;=19,"L","A"))),
     IF(OR(V32="ALI",V32="AIE"),IF(Z32&gt;=6,IF(X32&gt;=20,"H","A"),IF(Z32&gt;=2,IF(X32&gt;=51,"H",IF(X32&lt;=19,"L","A")),IF(X32&lt;=50,"L","A"))))))),
IF('Dados da OS'!$D$8=Parâmetros!$B$6,"Indicativa",
IF('Dados da OS'!$D$8=Parâmetros!$B$5,"PFS","")))</f>
        <v>H</v>
      </c>
      <c r="AF32" s="57">
        <f>IFERROR(VLOOKUP(W32,'Fatores de Impacto e INMs'!$A$3:$D$32,3,0),1)</f>
        <v>0.5</v>
      </c>
      <c r="AG32" s="57" t="str">
        <f>IFERROR(VLOOKUP(W32,'Fatores de Impacto e INMs'!$A$3:$E$32,5,0),1)</f>
        <v>VP</v>
      </c>
      <c r="AH32" s="82" t="str">
        <f xml:space="preserve">
IF(OR('Dados da OS'!$D$8="Selecione o tipo da contagem",ISBLANK('Dados da OS'!$D$8),V32="INM",V32="N/A",ISBLANK(V32),ISBLANK(W32),AG32="VF"),"-",
   IF('Dados da OS'!$D$8=Parâmetros!$B$3,
      IF(OR(ISBLANK(X32),ISBLANK(Z32)),"-",
         IF(AE32="L","Baixa",IF(AE32="A","Média",IF(AE32="H","Alta","-")))),
      IF('Dados da OS'!$D$8=Parâmetros!$B$4,
         IF(OR(V32="ALI",V32="AIE"),"Baixa",IF(OR(V32="EE",V32="SE",V32="CE"),"Média","-")),
         IF(OR('Dados da OS'!$D$8=Parâmetros!$B$5,'Dados da OS'!$D$8=Parâmetros!$B$6),"-"))))</f>
        <v>Alta</v>
      </c>
      <c r="AI32" s="83">
        <f xml:space="preserve">
IF(OR(ISBLANK(V32),ISBLANK(U32),ISBLANK(W32),V32="N/A",ISBLANK('Dados da OS'!$D$8)),"",
   IF(OR('Dados da OS'!$D$8=Parâmetros!$B$3,'Dados da OS'!$D$8=Parâmetros!$B$4),
      IF(OR(AND(V32="INM",AG32&lt;&gt;"VF"),AND(AG32="VF",V32&lt;&gt;"INM")),"",
        IF(AND(V32="INM",AG32="VF"),IF(ISBLANK(AB32),"",AF32*AB32),
        IF('Dados da OS'!$D$8=Parâmetros!$B$4,
           IF(OR(V32="CE",V32="EE"),4,IF(V32="SE",5,IF(V32="ALI",7,IF(V32="AIE",5,"")))),
        IF('Dados da OS'!$D$8=Parâmetros!$B$3,
           IF(OR(ISBLANK(X32),ISBLANK(Z32)),"",
              IF(V32="ALI",IF(AE32="L",7,IF(AE32="A",10,15)),
                 IF(V32="AIE",IF(AE32="L",5,IF(AE32="A",7,10)),
                    IF(V32="SE",IF(AE32="L",4,IF(AE32="A",5,7)),
                       IF(OR(V32="EE",V32="CE"),IF(AE32="L",3,IF(AE32="A",4,6)),""))))))))),
   IF('Dados da OS'!$D$8=Parâmetros!$B$5,
      IF(OR(AND(V32="INM",AG32&lt;&gt;"VF"),AND(AG32="VF",V32&lt;&gt;"INM")),"",
         IF(V32="INM",IF(AG32="VF",AF32*AB32,""),
            IF(V32="PE",4.6,
            IF(V32="AL",7,"")))),
   IF('Dados da OS'!$D$8=Parâmetros!$B$6,
      IF(V32="ALI",35,IF(V32="AIE",15,"")),""))
    )
)</f>
        <v>6</v>
      </c>
      <c r="AJ32" s="82">
        <f t="shared" si="8"/>
        <v>3</v>
      </c>
      <c r="AK32" s="84"/>
      <c r="AL32" s="85" t="s">
        <v>21</v>
      </c>
      <c r="AM32" s="86"/>
      <c r="AN32" s="85"/>
      <c r="AO32" s="87"/>
      <c r="AP32" s="85"/>
      <c r="AQ32" s="86"/>
      <c r="AR32" s="85"/>
    </row>
    <row r="33" spans="1:44" ht="15.75" customHeight="1">
      <c r="A33" s="54" t="s">
        <v>269</v>
      </c>
      <c r="B33" s="100"/>
      <c r="C33" s="55"/>
      <c r="D33" s="55"/>
      <c r="E33" s="56"/>
      <c r="F33" s="55"/>
      <c r="G33" s="56"/>
      <c r="H33" s="55"/>
      <c r="I33" s="64"/>
      <c r="J33" s="57" t="str">
        <f t="shared" si="9"/>
        <v/>
      </c>
      <c r="K33" s="57" t="str">
        <f t="shared" si="10"/>
        <v/>
      </c>
      <c r="L33" s="57" t="str">
        <f xml:space="preserve">
IF(OR('Dados da OS'!$D$8=Parâmetros!$B$3,'Dados da OS'!$D$8=Parâmetros!$B$4),
  IF(OR(ISBLANK(D33),ISBLANK(F33)),
     IF(OR(B33="ALI",B33="AIE"),"L",IF(ISBLANK(B33),"","A")),
     IF(B33="EE",IF(F33&gt;=3,IF(D33&gt;=5,"H","A"),
     IF(F33&gt;=2,IF(D33&gt;=16,"H",IF(D33&lt;=4,"L","A")),IF(D33&lt;=15,"L","A"))),
     IF(OR(B33="SE",B33="CE"),IF(F33&gt;=4,IF(D33&gt;=6,"H","A"),IF(F33&gt;=2,IF(D33&gt;=20,"H",IF(D33&lt;=5,"L","A")),IF(D33&lt;=19,"L","A"))),
     IF(OR(B33="ALI",B33="AIE"),IF(F33&gt;=6,IF(D33&gt;=20,"H","A"),IF(F33&gt;=2,IF(D33&gt;=51,"H",IF(D33&lt;=19,"L","A")),IF(D33&lt;=50,"L","A"))))))),
IF('Dados da OS'!$D$8=Parâmetros!$B$6,"Indicativa",
IF('Dados da OS'!$D$8=Parâmetros!$B$5,"PFS","")))</f>
        <v/>
      </c>
      <c r="M33" s="57">
        <f>IFERROR(VLOOKUP(C33,'Fatores de Impacto e INMs'!$A$3:$D$32,3,0),1)</f>
        <v>1</v>
      </c>
      <c r="N33" s="57">
        <f>IFERROR(VLOOKUP(C33,'Fatores de Impacto e INMs'!$A$3:$E$32,5,0),1)</f>
        <v>1</v>
      </c>
      <c r="O33" s="63" t="str">
        <f xml:space="preserve">
IF(OR('Dados da OS'!$D$8="Selecione o tipo da contagem",ISBLANK('Dados da OS'!$D$8),B33="INM",B33="N/A",ISBLANK(B33),ISBLANK(C33),N33="VF"),"-",
   IF('Dados da OS'!$D$8=Parâmetros!$B$3,
      IF(OR(ISBLANK(D33),ISBLANK(F33)),"-",
         IF(L33="L","Baixa",IF(L33="A","Média",IF(L33="H","Alta","-")))),
      IF('Dados da OS'!$D$8=Parâmetros!$B$4,
         IF(OR(B33="ALI",B33="AIE"),"Baixa",IF(OR(B33="EE",B33="SE",B33="CE"),"Média","-")),
         IF(OR('Dados da OS'!$D$8=Parâmetros!$B$5,'Dados da OS'!$D$8=Parâmetros!$B$6),"-"))))</f>
        <v>-</v>
      </c>
      <c r="P33" s="59" t="str">
        <f xml:space="preserve">
IF(OR(ISBLANK(B33),ISBLANK(C33),B33="N/A",ISBLANK('Dados da OS'!$D$8)),"",
   IF(OR('Dados da OS'!$D$8=Parâmetros!$B$3,'Dados da OS'!$D$8=Parâmetros!$B$4),
      IF(OR(AND(B33="INM",N33&lt;&gt;"VF"),AND(N33="VF",B33&lt;&gt;"INM")),"",
        IF(AND(B33="INM",N33="VF"),IF(ISBLANK(H33),"",M33*H33),
        IF('Dados da OS'!$D$8=Parâmetros!$B$4,
           IF(OR(B33="CE",B33="EE"),4,IF(B33="SE",5,IF(B33="ALI",7,IF(B33="AIE",5,"")))),
        IF('Dados da OS'!$D$8=Parâmetros!$B$3,
           IF(OR(ISBLANK(D33),ISBLANK(F33)),"",
              IF(B33="ALI",IF(L33="L",7,IF(L33="A",10,15)),
                 IF(B33="AIE",IF(L33="L",5,IF(L33="A",7,10)),
                    IF(B33="SE",IF(L33="L",4,IF(L33="A",5,7)),
                       IF(OR(B33="EE",B33="CE"),IF(L33="L",3,IF(L33="A",4,6)),""))))))))),
   IF('Dados da OS'!$D$8=Parâmetros!$B$5,
      IF(OR(AND(B33="INM",N33&lt;&gt;"VF"),AND(N33="VF",B33&lt;&gt;"INM")),"",
         IF(B33="INM",IF(N33="VF",M33*H33,""),
            IF(B33="PE",4.6,
            IF(B33="AL",7,"")))),
   IF('Dados da OS'!$D$8=Parâmetros!$B$6,
      IF(B33="ALI",35,IF(B33="AIE",15,"")),""))
    )
)</f>
        <v/>
      </c>
      <c r="Q33" s="60" t="str">
        <f t="shared" si="5"/>
        <v/>
      </c>
      <c r="R33" s="61"/>
      <c r="S33" s="62"/>
      <c r="T33" s="80" t="s">
        <v>21</v>
      </c>
      <c r="U33" s="215"/>
      <c r="V33" s="99"/>
      <c r="W33" s="55"/>
      <c r="X33" s="55"/>
      <c r="Y33" s="56"/>
      <c r="Z33" s="55"/>
      <c r="AA33" s="56"/>
      <c r="AB33" s="55"/>
      <c r="AC33" s="57" t="str">
        <f t="shared" si="6"/>
        <v/>
      </c>
      <c r="AD33" s="57" t="str">
        <f t="shared" si="7"/>
        <v/>
      </c>
      <c r="AE33" s="57" t="str">
        <f xml:space="preserve">
IF(OR('Dados da OS'!$D$8=Parâmetros!$B$3,'Dados da OS'!$D$8=Parâmetros!$B$4),
  IF(OR(ISBLANK(X33),ISBLANK(Z33)),
     IF(OR(V33="ALI",V33="AIE"),"L",IF(ISBLANK(V33),"","A")),
     IF(V33="EE",IF(Z33&gt;=3,IF(X33&gt;=5,"H","A"),
     IF(Z33&gt;=2,IF(X33&gt;=16,"H",IF(X33&lt;=4,"L","A")),IF(X33&lt;=15,"L","A"))),
     IF(OR(V33="SE",V33="CE"),IF(Z33&gt;=4,IF(X33&gt;=6,"H","A"),IF(Z33&gt;=2,IF(X33&gt;=20,"H",IF(X33&lt;=5,"L","A")),IF(X33&lt;=19,"L","A"))),
     IF(OR(V33="ALI",V33="AIE"),IF(Z33&gt;=6,IF(X33&gt;=20,"H","A"),IF(Z33&gt;=2,IF(X33&gt;=51,"H",IF(X33&lt;=19,"L","A")),IF(X33&lt;=50,"L","A"))))))),
IF('Dados da OS'!$D$8=Parâmetros!$B$6,"Indicativa",
IF('Dados da OS'!$D$8=Parâmetros!$B$5,"PFS","")))</f>
        <v/>
      </c>
      <c r="AF33" s="57">
        <f>IFERROR(VLOOKUP(W33,'Fatores de Impacto e INMs'!$A$3:$D$32,3,0),1)</f>
        <v>1</v>
      </c>
      <c r="AG33" s="57">
        <f>IFERROR(VLOOKUP(W33,'Fatores de Impacto e INMs'!$A$3:$E$32,5,0),1)</f>
        <v>1</v>
      </c>
      <c r="AH33" s="82" t="str">
        <f xml:space="preserve">
IF(OR('Dados da OS'!$D$8="Selecione o tipo da contagem",ISBLANK('Dados da OS'!$D$8),V33="INM",V33="N/A",ISBLANK(V33),ISBLANK(W33),AG33="VF"),"-",
   IF('Dados da OS'!$D$8=Parâmetros!$B$3,
      IF(OR(ISBLANK(X33),ISBLANK(Z33)),"-",
         IF(AE33="L","Baixa",IF(AE33="A","Média",IF(AE33="H","Alta","-")))),
      IF('Dados da OS'!$D$8=Parâmetros!$B$4,
         IF(OR(V33="ALI",V33="AIE"),"Baixa",IF(OR(V33="EE",V33="SE",V33="CE"),"Média","-")),
         IF(OR('Dados da OS'!$D$8=Parâmetros!$B$5,'Dados da OS'!$D$8=Parâmetros!$B$6),"-"))))</f>
        <v>-</v>
      </c>
      <c r="AI33" s="83" t="str">
        <f xml:space="preserve">
IF(OR(ISBLANK(V33),ISBLANK(U33),ISBLANK(W33),V33="N/A",ISBLANK('Dados da OS'!$D$8)),"",
   IF(OR('Dados da OS'!$D$8=Parâmetros!$B$3,'Dados da OS'!$D$8=Parâmetros!$B$4),
      IF(OR(AND(V33="INM",AG33&lt;&gt;"VF"),AND(AG33="VF",V33&lt;&gt;"INM")),"",
        IF(AND(V33="INM",AG33="VF"),IF(ISBLANK(AB33),"",AF33*AB33),
        IF('Dados da OS'!$D$8=Parâmetros!$B$4,
           IF(OR(V33="CE",V33="EE"),4,IF(V33="SE",5,IF(V33="ALI",7,IF(V33="AIE",5,"")))),
        IF('Dados da OS'!$D$8=Parâmetros!$B$3,
           IF(OR(ISBLANK(X33),ISBLANK(Z33)),"",
              IF(V33="ALI",IF(AE33="L",7,IF(AE33="A",10,15)),
                 IF(V33="AIE",IF(AE33="L",5,IF(AE33="A",7,10)),
                    IF(V33="SE",IF(AE33="L",4,IF(AE33="A",5,7)),
                       IF(OR(V33="EE",V33="CE"),IF(AE33="L",3,IF(AE33="A",4,6)),""))))))))),
   IF('Dados da OS'!$D$8=Parâmetros!$B$5,
      IF(OR(AND(V33="INM",AG33&lt;&gt;"VF"),AND(AG33="VF",V33&lt;&gt;"INM")),"",
         IF(V33="INM",IF(AG33="VF",AF33*AB33,""),
            IF(V33="PE",4.6,
            IF(V33="AL",7,"")))),
   IF('Dados da OS'!$D$8=Parâmetros!$B$6,
      IF(V33="ALI",35,IF(V33="AIE",15,"")),""))
    )
)</f>
        <v/>
      </c>
      <c r="AJ33" s="82" t="str">
        <f t="shared" si="8"/>
        <v/>
      </c>
      <c r="AK33" s="84"/>
      <c r="AL33" s="85" t="s">
        <v>21</v>
      </c>
      <c r="AM33" s="86"/>
      <c r="AN33" s="85"/>
      <c r="AO33" s="87"/>
      <c r="AP33" s="85"/>
      <c r="AQ33" s="86"/>
      <c r="AR33" s="85"/>
    </row>
    <row r="34" spans="1:44" ht="15.75" customHeight="1">
      <c r="A34" s="54" t="s">
        <v>270</v>
      </c>
      <c r="B34" s="100" t="s">
        <v>122</v>
      </c>
      <c r="C34" s="55" t="s">
        <v>56</v>
      </c>
      <c r="D34" s="55">
        <v>9</v>
      </c>
      <c r="E34" s="56" t="s">
        <v>271</v>
      </c>
      <c r="F34" s="55">
        <v>1</v>
      </c>
      <c r="G34" s="56" t="s">
        <v>272</v>
      </c>
      <c r="H34" s="55"/>
      <c r="I34" s="64"/>
      <c r="J34" s="57" t="str">
        <f t="shared" si="9"/>
        <v>CEL</v>
      </c>
      <c r="K34" s="57" t="str">
        <f t="shared" si="10"/>
        <v>CEA50L1,5</v>
      </c>
      <c r="L34" s="57" t="str">
        <f xml:space="preserve">
IF(OR('Dados da OS'!$D$8=Parâmetros!$B$3,'Dados da OS'!$D$8=Parâmetros!$B$4),
  IF(OR(ISBLANK(D34),ISBLANK(F34)),
     IF(OR(B34="ALI",B34="AIE"),"L",IF(ISBLANK(B34),"","A")),
     IF(B34="EE",IF(F34&gt;=3,IF(D34&gt;=5,"H","A"),
     IF(F34&gt;=2,IF(D34&gt;=16,"H",IF(D34&lt;=4,"L","A")),IF(D34&lt;=15,"L","A"))),
     IF(OR(B34="SE",B34="CE"),IF(F34&gt;=4,IF(D34&gt;=6,"H","A"),IF(F34&gt;=2,IF(D34&gt;=20,"H",IF(D34&lt;=5,"L","A")),IF(D34&lt;=19,"L","A"))),
     IF(OR(B34="ALI",B34="AIE"),IF(F34&gt;=6,IF(D34&gt;=20,"H","A"),IF(F34&gt;=2,IF(D34&gt;=51,"H",IF(D34&lt;=19,"L","A")),IF(D34&lt;=50,"L","A"))))))),
IF('Dados da OS'!$D$8=Parâmetros!$B$6,"Indicativa",
IF('Dados da OS'!$D$8=Parâmetros!$B$5,"PFS","")))</f>
        <v>L</v>
      </c>
      <c r="M34" s="57">
        <f>IFERROR(VLOOKUP(C34,'Fatores de Impacto e INMs'!$A$3:$D$32,3,0),1)</f>
        <v>0.5</v>
      </c>
      <c r="N34" s="57" t="str">
        <f>IFERROR(VLOOKUP(C34,'Fatores de Impacto e INMs'!$A$3:$E$32,5,0),1)</f>
        <v>VP</v>
      </c>
      <c r="O34" s="63" t="str">
        <f xml:space="preserve">
IF(OR('Dados da OS'!$D$8="Selecione o tipo da contagem",ISBLANK('Dados da OS'!$D$8),B34="INM",B34="N/A",ISBLANK(B34),ISBLANK(C34),N34="VF"),"-",
   IF('Dados da OS'!$D$8=Parâmetros!$B$3,
      IF(OR(ISBLANK(D34),ISBLANK(F34)),"-",
         IF(L34="L","Baixa",IF(L34="A","Média",IF(L34="H","Alta","-")))),
      IF('Dados da OS'!$D$8=Parâmetros!$B$4,
         IF(OR(B34="ALI",B34="AIE"),"Baixa",IF(OR(B34="EE",B34="SE",B34="CE"),"Média","-")),
         IF(OR('Dados da OS'!$D$8=Parâmetros!$B$5,'Dados da OS'!$D$8=Parâmetros!$B$6),"-"))))</f>
        <v>Baixa</v>
      </c>
      <c r="P34" s="59">
        <f xml:space="preserve">
IF(OR(ISBLANK(B34),ISBLANK(C34),B34="N/A",ISBLANK('Dados da OS'!$D$8)),"",
   IF(OR('Dados da OS'!$D$8=Parâmetros!$B$3,'Dados da OS'!$D$8=Parâmetros!$B$4),
      IF(OR(AND(B34="INM",N34&lt;&gt;"VF"),AND(N34="VF",B34&lt;&gt;"INM")),"",
        IF(AND(B34="INM",N34="VF"),IF(ISBLANK(H34),"",M34*H34),
        IF('Dados da OS'!$D$8=Parâmetros!$B$4,
           IF(OR(B34="CE",B34="EE"),4,IF(B34="SE",5,IF(B34="ALI",7,IF(B34="AIE",5,"")))),
        IF('Dados da OS'!$D$8=Parâmetros!$B$3,
           IF(OR(ISBLANK(D34),ISBLANK(F34)),"",
              IF(B34="ALI",IF(L34="L",7,IF(L34="A",10,15)),
                 IF(B34="AIE",IF(L34="L",5,IF(L34="A",7,10)),
                    IF(B34="SE",IF(L34="L",4,IF(L34="A",5,7)),
                       IF(OR(B34="EE",B34="CE"),IF(L34="L",3,IF(L34="A",4,6)),""))))))))),
   IF('Dados da OS'!$D$8=Parâmetros!$B$5,
      IF(OR(AND(B34="INM",N34&lt;&gt;"VF"),AND(N34="VF",B34&lt;&gt;"INM")),"",
         IF(B34="INM",IF(N34="VF",M34*H34,""),
            IF(B34="PE",4.6,
            IF(B34="AL",7,"")))),
   IF('Dados da OS'!$D$8=Parâmetros!$B$6,
      IF(B34="ALI",35,IF(B34="AIE",15,"")),""))
    )
)</f>
        <v>3</v>
      </c>
      <c r="Q34" s="60">
        <f t="shared" si="5"/>
        <v>1.5</v>
      </c>
      <c r="R34" s="61"/>
      <c r="S34" s="62" t="s">
        <v>330</v>
      </c>
      <c r="T34" s="80" t="s">
        <v>21</v>
      </c>
      <c r="U34" s="215" t="s">
        <v>214</v>
      </c>
      <c r="V34" s="99" t="s">
        <v>122</v>
      </c>
      <c r="W34" s="55" t="s">
        <v>56</v>
      </c>
      <c r="X34" s="55">
        <v>9</v>
      </c>
      <c r="Y34" s="56" t="s">
        <v>271</v>
      </c>
      <c r="Z34" s="55">
        <v>1</v>
      </c>
      <c r="AA34" s="56" t="s">
        <v>272</v>
      </c>
      <c r="AB34" s="55"/>
      <c r="AC34" s="57" t="str">
        <f t="shared" si="6"/>
        <v>CEL</v>
      </c>
      <c r="AD34" s="57" t="str">
        <f t="shared" si="7"/>
        <v>CEA50L1,5</v>
      </c>
      <c r="AE34" s="57" t="str">
        <f xml:space="preserve">
IF(OR('Dados da OS'!$D$8=Parâmetros!$B$3,'Dados da OS'!$D$8=Parâmetros!$B$4),
  IF(OR(ISBLANK(X34),ISBLANK(Z34)),
     IF(OR(V34="ALI",V34="AIE"),"L",IF(ISBLANK(V34),"","A")),
     IF(V34="EE",IF(Z34&gt;=3,IF(X34&gt;=5,"H","A"),
     IF(Z34&gt;=2,IF(X34&gt;=16,"H",IF(X34&lt;=4,"L","A")),IF(X34&lt;=15,"L","A"))),
     IF(OR(V34="SE",V34="CE"),IF(Z34&gt;=4,IF(X34&gt;=6,"H","A"),IF(Z34&gt;=2,IF(X34&gt;=20,"H",IF(X34&lt;=5,"L","A")),IF(X34&lt;=19,"L","A"))),
     IF(OR(V34="ALI",V34="AIE"),IF(Z34&gt;=6,IF(X34&gt;=20,"H","A"),IF(Z34&gt;=2,IF(X34&gt;=51,"H",IF(X34&lt;=19,"L","A")),IF(X34&lt;=50,"L","A"))))))),
IF('Dados da OS'!$D$8=Parâmetros!$B$6,"Indicativa",
IF('Dados da OS'!$D$8=Parâmetros!$B$5,"PFS","")))</f>
        <v>L</v>
      </c>
      <c r="AF34" s="57">
        <f>IFERROR(VLOOKUP(W34,'Fatores de Impacto e INMs'!$A$3:$D$32,3,0),1)</f>
        <v>0.5</v>
      </c>
      <c r="AG34" s="57" t="str">
        <f>IFERROR(VLOOKUP(W34,'Fatores de Impacto e INMs'!$A$3:$E$32,5,0),1)</f>
        <v>VP</v>
      </c>
      <c r="AH34" s="82" t="str">
        <f xml:space="preserve">
IF(OR('Dados da OS'!$D$8="Selecione o tipo da contagem",ISBLANK('Dados da OS'!$D$8),V34="INM",V34="N/A",ISBLANK(V34),ISBLANK(W34),AG34="VF"),"-",
   IF('Dados da OS'!$D$8=Parâmetros!$B$3,
      IF(OR(ISBLANK(X34),ISBLANK(Z34)),"-",
         IF(AE34="L","Baixa",IF(AE34="A","Média",IF(AE34="H","Alta","-")))),
      IF('Dados da OS'!$D$8=Parâmetros!$B$4,
         IF(OR(V34="ALI",V34="AIE"),"Baixa",IF(OR(V34="EE",V34="SE",V34="CE"),"Média","-")),
         IF(OR('Dados da OS'!$D$8=Parâmetros!$B$5,'Dados da OS'!$D$8=Parâmetros!$B$6),"-"))))</f>
        <v>Baixa</v>
      </c>
      <c r="AI34" s="83">
        <f xml:space="preserve">
IF(OR(ISBLANK(V34),ISBLANK(U34),ISBLANK(W34),V34="N/A",ISBLANK('Dados da OS'!$D$8)),"",
   IF(OR('Dados da OS'!$D$8=Parâmetros!$B$3,'Dados da OS'!$D$8=Parâmetros!$B$4),
      IF(OR(AND(V34="INM",AG34&lt;&gt;"VF"),AND(AG34="VF",V34&lt;&gt;"INM")),"",
        IF(AND(V34="INM",AG34="VF"),IF(ISBLANK(AB34),"",AF34*AB34),
        IF('Dados da OS'!$D$8=Parâmetros!$B$4,
           IF(OR(V34="CE",V34="EE"),4,IF(V34="SE",5,IF(V34="ALI",7,IF(V34="AIE",5,"")))),
        IF('Dados da OS'!$D$8=Parâmetros!$B$3,
           IF(OR(ISBLANK(X34),ISBLANK(Z34)),"",
              IF(V34="ALI",IF(AE34="L",7,IF(AE34="A",10,15)),
                 IF(V34="AIE",IF(AE34="L",5,IF(AE34="A",7,10)),
                    IF(V34="SE",IF(AE34="L",4,IF(AE34="A",5,7)),
                       IF(OR(V34="EE",V34="CE"),IF(AE34="L",3,IF(AE34="A",4,6)),""))))))))),
   IF('Dados da OS'!$D$8=Parâmetros!$B$5,
      IF(OR(AND(V34="INM",AG34&lt;&gt;"VF"),AND(AG34="VF",V34&lt;&gt;"INM")),"",
         IF(V34="INM",IF(AG34="VF",AF34*AB34,""),
            IF(V34="PE",4.6,
            IF(V34="AL",7,"")))),
   IF('Dados da OS'!$D$8=Parâmetros!$B$6,
      IF(V34="ALI",35,IF(V34="AIE",15,"")),""))
    )
)</f>
        <v>3</v>
      </c>
      <c r="AJ34" s="82">
        <f t="shared" si="8"/>
        <v>1.5</v>
      </c>
      <c r="AK34" s="84"/>
      <c r="AL34" s="85" t="s">
        <v>21</v>
      </c>
      <c r="AM34" s="86"/>
      <c r="AN34" s="85"/>
      <c r="AO34" s="87"/>
      <c r="AP34" s="85"/>
      <c r="AQ34" s="86"/>
      <c r="AR34" s="85"/>
    </row>
    <row r="35" spans="1:44" ht="15.75" customHeight="1">
      <c r="A35" s="54" t="s">
        <v>273</v>
      </c>
      <c r="B35" s="100" t="s">
        <v>121</v>
      </c>
      <c r="C35" s="55" t="s">
        <v>56</v>
      </c>
      <c r="D35" s="55">
        <v>13</v>
      </c>
      <c r="E35" s="56" t="s">
        <v>274</v>
      </c>
      <c r="F35" s="55">
        <v>3</v>
      </c>
      <c r="G35" s="56" t="s">
        <v>275</v>
      </c>
      <c r="H35" s="55"/>
      <c r="I35" s="64"/>
      <c r="J35" s="57" t="str">
        <f t="shared" si="9"/>
        <v>EEH</v>
      </c>
      <c r="K35" s="57" t="str">
        <f t="shared" si="10"/>
        <v>EEA50H3</v>
      </c>
      <c r="L35" s="57" t="str">
        <f xml:space="preserve">
IF(OR('Dados da OS'!$D$8=Parâmetros!$B$3,'Dados da OS'!$D$8=Parâmetros!$B$4),
  IF(OR(ISBLANK(D35),ISBLANK(F35)),
     IF(OR(B35="ALI",B35="AIE"),"L",IF(ISBLANK(B35),"","A")),
     IF(B35="EE",IF(F35&gt;=3,IF(D35&gt;=5,"H","A"),
     IF(F35&gt;=2,IF(D35&gt;=16,"H",IF(D35&lt;=4,"L","A")),IF(D35&lt;=15,"L","A"))),
     IF(OR(B35="SE",B35="CE"),IF(F35&gt;=4,IF(D35&gt;=6,"H","A"),IF(F35&gt;=2,IF(D35&gt;=20,"H",IF(D35&lt;=5,"L","A")),IF(D35&lt;=19,"L","A"))),
     IF(OR(B35="ALI",B35="AIE"),IF(F35&gt;=6,IF(D35&gt;=20,"H","A"),IF(F35&gt;=2,IF(D35&gt;=51,"H",IF(D35&lt;=19,"L","A")),IF(D35&lt;=50,"L","A"))))))),
IF('Dados da OS'!$D$8=Parâmetros!$B$6,"Indicativa",
IF('Dados da OS'!$D$8=Parâmetros!$B$5,"PFS","")))</f>
        <v>H</v>
      </c>
      <c r="M35" s="57">
        <f>IFERROR(VLOOKUP(C35,'Fatores de Impacto e INMs'!$A$3:$D$32,3,0),1)</f>
        <v>0.5</v>
      </c>
      <c r="N35" s="57" t="str">
        <f>IFERROR(VLOOKUP(C35,'Fatores de Impacto e INMs'!$A$3:$E$32,5,0),1)</f>
        <v>VP</v>
      </c>
      <c r="O35" s="63" t="str">
        <f xml:space="preserve">
IF(OR('Dados da OS'!$D$8="Selecione o tipo da contagem",ISBLANK('Dados da OS'!$D$8),B35="INM",B35="N/A",ISBLANK(B35),ISBLANK(C35),N35="VF"),"-",
   IF('Dados da OS'!$D$8=Parâmetros!$B$3,
      IF(OR(ISBLANK(D35),ISBLANK(F35)),"-",
         IF(L35="L","Baixa",IF(L35="A","Média",IF(L35="H","Alta","-")))),
      IF('Dados da OS'!$D$8=Parâmetros!$B$4,
         IF(OR(B35="ALI",B35="AIE"),"Baixa",IF(OR(B35="EE",B35="SE",B35="CE"),"Média","-")),
         IF(OR('Dados da OS'!$D$8=Parâmetros!$B$5,'Dados da OS'!$D$8=Parâmetros!$B$6),"-"))))</f>
        <v>Alta</v>
      </c>
      <c r="P35" s="59">
        <f xml:space="preserve">
IF(OR(ISBLANK(B35),ISBLANK(C35),B35="N/A",ISBLANK('Dados da OS'!$D$8)),"",
   IF(OR('Dados da OS'!$D$8=Parâmetros!$B$3,'Dados da OS'!$D$8=Parâmetros!$B$4),
      IF(OR(AND(B35="INM",N35&lt;&gt;"VF"),AND(N35="VF",B35&lt;&gt;"INM")),"",
        IF(AND(B35="INM",N35="VF"),IF(ISBLANK(H35),"",M35*H35),
        IF('Dados da OS'!$D$8=Parâmetros!$B$4,
           IF(OR(B35="CE",B35="EE"),4,IF(B35="SE",5,IF(B35="ALI",7,IF(B35="AIE",5,"")))),
        IF('Dados da OS'!$D$8=Parâmetros!$B$3,
           IF(OR(ISBLANK(D35),ISBLANK(F35)),"",
              IF(B35="ALI",IF(L35="L",7,IF(L35="A",10,15)),
                 IF(B35="AIE",IF(L35="L",5,IF(L35="A",7,10)),
                    IF(B35="SE",IF(L35="L",4,IF(L35="A",5,7)),
                       IF(OR(B35="EE",B35="CE"),IF(L35="L",3,IF(L35="A",4,6)),""))))))))),
   IF('Dados da OS'!$D$8=Parâmetros!$B$5,
      IF(OR(AND(B35="INM",N35&lt;&gt;"VF"),AND(N35="VF",B35&lt;&gt;"INM")),"",
         IF(B35="INM",IF(N35="VF",M35*H35,""),
            IF(B35="PE",4.6,
            IF(B35="AL",7,"")))),
   IF('Dados da OS'!$D$8=Parâmetros!$B$6,
      IF(B35="ALI",35,IF(B35="AIE",15,"")),""))
    )
)</f>
        <v>6</v>
      </c>
      <c r="Q35" s="60">
        <f t="shared" si="5"/>
        <v>3</v>
      </c>
      <c r="R35" s="61"/>
      <c r="S35" s="62" t="s">
        <v>330</v>
      </c>
      <c r="T35" s="80" t="s">
        <v>21</v>
      </c>
      <c r="U35" s="215" t="s">
        <v>214</v>
      </c>
      <c r="V35" s="99" t="s">
        <v>121</v>
      </c>
      <c r="W35" s="55" t="s">
        <v>56</v>
      </c>
      <c r="X35" s="55">
        <v>13</v>
      </c>
      <c r="Y35" s="56" t="s">
        <v>274</v>
      </c>
      <c r="Z35" s="55">
        <v>3</v>
      </c>
      <c r="AA35" s="56" t="s">
        <v>275</v>
      </c>
      <c r="AB35" s="55"/>
      <c r="AC35" s="57" t="str">
        <f t="shared" si="6"/>
        <v>EEH</v>
      </c>
      <c r="AD35" s="57" t="str">
        <f t="shared" si="7"/>
        <v>EEA50H3</v>
      </c>
      <c r="AE35" s="57" t="str">
        <f xml:space="preserve">
IF(OR('Dados da OS'!$D$8=Parâmetros!$B$3,'Dados da OS'!$D$8=Parâmetros!$B$4),
  IF(OR(ISBLANK(X35),ISBLANK(Z35)),
     IF(OR(V35="ALI",V35="AIE"),"L",IF(ISBLANK(V35),"","A")),
     IF(V35="EE",IF(Z35&gt;=3,IF(X35&gt;=5,"H","A"),
     IF(Z35&gt;=2,IF(X35&gt;=16,"H",IF(X35&lt;=4,"L","A")),IF(X35&lt;=15,"L","A"))),
     IF(OR(V35="SE",V35="CE"),IF(Z35&gt;=4,IF(X35&gt;=6,"H","A"),IF(Z35&gt;=2,IF(X35&gt;=20,"H",IF(X35&lt;=5,"L","A")),IF(X35&lt;=19,"L","A"))),
     IF(OR(V35="ALI",V35="AIE"),IF(Z35&gt;=6,IF(X35&gt;=20,"H","A"),IF(Z35&gt;=2,IF(X35&gt;=51,"H",IF(X35&lt;=19,"L","A")),IF(X35&lt;=50,"L","A"))))))),
IF('Dados da OS'!$D$8=Parâmetros!$B$6,"Indicativa",
IF('Dados da OS'!$D$8=Parâmetros!$B$5,"PFS","")))</f>
        <v>H</v>
      </c>
      <c r="AF35" s="57">
        <f>IFERROR(VLOOKUP(W35,'Fatores de Impacto e INMs'!$A$3:$D$32,3,0),1)</f>
        <v>0.5</v>
      </c>
      <c r="AG35" s="57" t="str">
        <f>IFERROR(VLOOKUP(W35,'Fatores de Impacto e INMs'!$A$3:$E$32,5,0),1)</f>
        <v>VP</v>
      </c>
      <c r="AH35" s="82" t="str">
        <f xml:space="preserve">
IF(OR('Dados da OS'!$D$8="Selecione o tipo da contagem",ISBLANK('Dados da OS'!$D$8),V35="INM",V35="N/A",ISBLANK(V35),ISBLANK(W35),AG35="VF"),"-",
   IF('Dados da OS'!$D$8=Parâmetros!$B$3,
      IF(OR(ISBLANK(X35),ISBLANK(Z35)),"-",
         IF(AE35="L","Baixa",IF(AE35="A","Média",IF(AE35="H","Alta","-")))),
      IF('Dados da OS'!$D$8=Parâmetros!$B$4,
         IF(OR(V35="ALI",V35="AIE"),"Baixa",IF(OR(V35="EE",V35="SE",V35="CE"),"Média","-")),
         IF(OR('Dados da OS'!$D$8=Parâmetros!$B$5,'Dados da OS'!$D$8=Parâmetros!$B$6),"-"))))</f>
        <v>Alta</v>
      </c>
      <c r="AI35" s="83">
        <f xml:space="preserve">
IF(OR(ISBLANK(V35),ISBLANK(U35),ISBLANK(W35),V35="N/A",ISBLANK('Dados da OS'!$D$8)),"",
   IF(OR('Dados da OS'!$D$8=Parâmetros!$B$3,'Dados da OS'!$D$8=Parâmetros!$B$4),
      IF(OR(AND(V35="INM",AG35&lt;&gt;"VF"),AND(AG35="VF",V35&lt;&gt;"INM")),"",
        IF(AND(V35="INM",AG35="VF"),IF(ISBLANK(AB35),"",AF35*AB35),
        IF('Dados da OS'!$D$8=Parâmetros!$B$4,
           IF(OR(V35="CE",V35="EE"),4,IF(V35="SE",5,IF(V35="ALI",7,IF(V35="AIE",5,"")))),
        IF('Dados da OS'!$D$8=Parâmetros!$B$3,
           IF(OR(ISBLANK(X35),ISBLANK(Z35)),"",
              IF(V35="ALI",IF(AE35="L",7,IF(AE35="A",10,15)),
                 IF(V35="AIE",IF(AE35="L",5,IF(AE35="A",7,10)),
                    IF(V35="SE",IF(AE35="L",4,IF(AE35="A",5,7)),
                       IF(OR(V35="EE",V35="CE"),IF(AE35="L",3,IF(AE35="A",4,6)),""))))))))),
   IF('Dados da OS'!$D$8=Parâmetros!$B$5,
      IF(OR(AND(V35="INM",AG35&lt;&gt;"VF"),AND(AG35="VF",V35&lt;&gt;"INM")),"",
         IF(V35="INM",IF(AG35="VF",AF35*AB35,""),
            IF(V35="PE",4.6,
            IF(V35="AL",7,"")))),
   IF('Dados da OS'!$D$8=Parâmetros!$B$6,
      IF(V35="ALI",35,IF(V35="AIE",15,"")),""))
    )
)</f>
        <v>6</v>
      </c>
      <c r="AJ35" s="82">
        <f t="shared" si="8"/>
        <v>3</v>
      </c>
      <c r="AK35" s="84"/>
      <c r="AL35" s="85" t="s">
        <v>21</v>
      </c>
      <c r="AM35" s="86"/>
      <c r="AN35" s="85"/>
      <c r="AO35" s="87"/>
      <c r="AP35" s="85"/>
      <c r="AQ35" s="86"/>
      <c r="AR35" s="85"/>
    </row>
    <row r="36" spans="1:44" ht="15.75" customHeight="1">
      <c r="A36" s="54" t="s">
        <v>276</v>
      </c>
      <c r="B36" s="100" t="s">
        <v>121</v>
      </c>
      <c r="C36" s="55" t="s">
        <v>56</v>
      </c>
      <c r="D36" s="55">
        <v>13</v>
      </c>
      <c r="E36" s="56" t="s">
        <v>274</v>
      </c>
      <c r="F36" s="55">
        <v>3</v>
      </c>
      <c r="G36" s="56" t="s">
        <v>275</v>
      </c>
      <c r="H36" s="55"/>
      <c r="I36" s="64"/>
      <c r="J36" s="57" t="str">
        <f t="shared" si="9"/>
        <v>EEH</v>
      </c>
      <c r="K36" s="57" t="str">
        <f t="shared" si="10"/>
        <v>EEA50H3</v>
      </c>
      <c r="L36" s="57" t="str">
        <f xml:space="preserve">
IF(OR('Dados da OS'!$D$8=Parâmetros!$B$3,'Dados da OS'!$D$8=Parâmetros!$B$4),
  IF(OR(ISBLANK(D36),ISBLANK(F36)),
     IF(OR(B36="ALI",B36="AIE"),"L",IF(ISBLANK(B36),"","A")),
     IF(B36="EE",IF(F36&gt;=3,IF(D36&gt;=5,"H","A"),
     IF(F36&gt;=2,IF(D36&gt;=16,"H",IF(D36&lt;=4,"L","A")),IF(D36&lt;=15,"L","A"))),
     IF(OR(B36="SE",B36="CE"),IF(F36&gt;=4,IF(D36&gt;=6,"H","A"),IF(F36&gt;=2,IF(D36&gt;=20,"H",IF(D36&lt;=5,"L","A")),IF(D36&lt;=19,"L","A"))),
     IF(OR(B36="ALI",B36="AIE"),IF(F36&gt;=6,IF(D36&gt;=20,"H","A"),IF(F36&gt;=2,IF(D36&gt;=51,"H",IF(D36&lt;=19,"L","A")),IF(D36&lt;=50,"L","A"))))))),
IF('Dados da OS'!$D$8=Parâmetros!$B$6,"Indicativa",
IF('Dados da OS'!$D$8=Parâmetros!$B$5,"PFS","")))</f>
        <v>H</v>
      </c>
      <c r="M36" s="57">
        <f>IFERROR(VLOOKUP(C36,'Fatores de Impacto e INMs'!$A$3:$D$32,3,0),1)</f>
        <v>0.5</v>
      </c>
      <c r="N36" s="57" t="str">
        <f>IFERROR(VLOOKUP(C36,'Fatores de Impacto e INMs'!$A$3:$E$32,5,0),1)</f>
        <v>VP</v>
      </c>
      <c r="O36" s="63" t="str">
        <f xml:space="preserve">
IF(OR('Dados da OS'!$D$8="Selecione o tipo da contagem",ISBLANK('Dados da OS'!$D$8),B36="INM",B36="N/A",ISBLANK(B36),ISBLANK(C36),N36="VF"),"-",
   IF('Dados da OS'!$D$8=Parâmetros!$B$3,
      IF(OR(ISBLANK(D36),ISBLANK(F36)),"-",
         IF(L36="L","Baixa",IF(L36="A","Média",IF(L36="H","Alta","-")))),
      IF('Dados da OS'!$D$8=Parâmetros!$B$4,
         IF(OR(B36="ALI",B36="AIE"),"Baixa",IF(OR(B36="EE",B36="SE",B36="CE"),"Média","-")),
         IF(OR('Dados da OS'!$D$8=Parâmetros!$B$5,'Dados da OS'!$D$8=Parâmetros!$B$6),"-"))))</f>
        <v>Alta</v>
      </c>
      <c r="P36" s="59">
        <f xml:space="preserve">
IF(OR(ISBLANK(B36),ISBLANK(C36),B36="N/A",ISBLANK('Dados da OS'!$D$8)),"",
   IF(OR('Dados da OS'!$D$8=Parâmetros!$B$3,'Dados da OS'!$D$8=Parâmetros!$B$4),
      IF(OR(AND(B36="INM",N36&lt;&gt;"VF"),AND(N36="VF",B36&lt;&gt;"INM")),"",
        IF(AND(B36="INM",N36="VF"),IF(ISBLANK(H36),"",M36*H36),
        IF('Dados da OS'!$D$8=Parâmetros!$B$4,
           IF(OR(B36="CE",B36="EE"),4,IF(B36="SE",5,IF(B36="ALI",7,IF(B36="AIE",5,"")))),
        IF('Dados da OS'!$D$8=Parâmetros!$B$3,
           IF(OR(ISBLANK(D36),ISBLANK(F36)),"",
              IF(B36="ALI",IF(L36="L",7,IF(L36="A",10,15)),
                 IF(B36="AIE",IF(L36="L",5,IF(L36="A",7,10)),
                    IF(B36="SE",IF(L36="L",4,IF(L36="A",5,7)),
                       IF(OR(B36="EE",B36="CE"),IF(L36="L",3,IF(L36="A",4,6)),""))))))))),
   IF('Dados da OS'!$D$8=Parâmetros!$B$5,
      IF(OR(AND(B36="INM",N36&lt;&gt;"VF"),AND(N36="VF",B36&lt;&gt;"INM")),"",
         IF(B36="INM",IF(N36="VF",M36*H36,""),
            IF(B36="PE",4.6,
            IF(B36="AL",7,"")))),
   IF('Dados da OS'!$D$8=Parâmetros!$B$6,
      IF(B36="ALI",35,IF(B36="AIE",15,"")),""))
    )
)</f>
        <v>6</v>
      </c>
      <c r="Q36" s="60">
        <f t="shared" si="5"/>
        <v>3</v>
      </c>
      <c r="R36" s="61"/>
      <c r="S36" s="62" t="s">
        <v>330</v>
      </c>
      <c r="T36" s="80" t="s">
        <v>21</v>
      </c>
      <c r="U36" s="215" t="s">
        <v>214</v>
      </c>
      <c r="V36" s="99" t="s">
        <v>121</v>
      </c>
      <c r="W36" s="55" t="s">
        <v>56</v>
      </c>
      <c r="X36" s="55">
        <v>13</v>
      </c>
      <c r="Y36" s="56" t="s">
        <v>274</v>
      </c>
      <c r="Z36" s="55">
        <v>3</v>
      </c>
      <c r="AA36" s="56" t="s">
        <v>275</v>
      </c>
      <c r="AB36" s="55"/>
      <c r="AC36" s="57" t="str">
        <f t="shared" si="6"/>
        <v>EEH</v>
      </c>
      <c r="AD36" s="57" t="str">
        <f t="shared" si="7"/>
        <v>EEA50H3</v>
      </c>
      <c r="AE36" s="57" t="str">
        <f xml:space="preserve">
IF(OR('Dados da OS'!$D$8=Parâmetros!$B$3,'Dados da OS'!$D$8=Parâmetros!$B$4),
  IF(OR(ISBLANK(X36),ISBLANK(Z36)),
     IF(OR(V36="ALI",V36="AIE"),"L",IF(ISBLANK(V36),"","A")),
     IF(V36="EE",IF(Z36&gt;=3,IF(X36&gt;=5,"H","A"),
     IF(Z36&gt;=2,IF(X36&gt;=16,"H",IF(X36&lt;=4,"L","A")),IF(X36&lt;=15,"L","A"))),
     IF(OR(V36="SE",V36="CE"),IF(Z36&gt;=4,IF(X36&gt;=6,"H","A"),IF(Z36&gt;=2,IF(X36&gt;=20,"H",IF(X36&lt;=5,"L","A")),IF(X36&lt;=19,"L","A"))),
     IF(OR(V36="ALI",V36="AIE"),IF(Z36&gt;=6,IF(X36&gt;=20,"H","A"),IF(Z36&gt;=2,IF(X36&gt;=51,"H",IF(X36&lt;=19,"L","A")),IF(X36&lt;=50,"L","A"))))))),
IF('Dados da OS'!$D$8=Parâmetros!$B$6,"Indicativa",
IF('Dados da OS'!$D$8=Parâmetros!$B$5,"PFS","")))</f>
        <v>H</v>
      </c>
      <c r="AF36" s="57">
        <f>IFERROR(VLOOKUP(W36,'Fatores de Impacto e INMs'!$A$3:$D$32,3,0),1)</f>
        <v>0.5</v>
      </c>
      <c r="AG36" s="57" t="str">
        <f>IFERROR(VLOOKUP(W36,'Fatores de Impacto e INMs'!$A$3:$E$32,5,0),1)</f>
        <v>VP</v>
      </c>
      <c r="AH36" s="82" t="str">
        <f xml:space="preserve">
IF(OR('Dados da OS'!$D$8="Selecione o tipo da contagem",ISBLANK('Dados da OS'!$D$8),V36="INM",V36="N/A",ISBLANK(V36),ISBLANK(W36),AG36="VF"),"-",
   IF('Dados da OS'!$D$8=Parâmetros!$B$3,
      IF(OR(ISBLANK(X36),ISBLANK(Z36)),"-",
         IF(AE36="L","Baixa",IF(AE36="A","Média",IF(AE36="H","Alta","-")))),
      IF('Dados da OS'!$D$8=Parâmetros!$B$4,
         IF(OR(V36="ALI",V36="AIE"),"Baixa",IF(OR(V36="EE",V36="SE",V36="CE"),"Média","-")),
         IF(OR('Dados da OS'!$D$8=Parâmetros!$B$5,'Dados da OS'!$D$8=Parâmetros!$B$6),"-"))))</f>
        <v>Alta</v>
      </c>
      <c r="AI36" s="83">
        <f xml:space="preserve">
IF(OR(ISBLANK(V36),ISBLANK(U36),ISBLANK(W36),V36="N/A",ISBLANK('Dados da OS'!$D$8)),"",
   IF(OR('Dados da OS'!$D$8=Parâmetros!$B$3,'Dados da OS'!$D$8=Parâmetros!$B$4),
      IF(OR(AND(V36="INM",AG36&lt;&gt;"VF"),AND(AG36="VF",V36&lt;&gt;"INM")),"",
        IF(AND(V36="INM",AG36="VF"),IF(ISBLANK(AB36),"",AF36*AB36),
        IF('Dados da OS'!$D$8=Parâmetros!$B$4,
           IF(OR(V36="CE",V36="EE"),4,IF(V36="SE",5,IF(V36="ALI",7,IF(V36="AIE",5,"")))),
        IF('Dados da OS'!$D$8=Parâmetros!$B$3,
           IF(OR(ISBLANK(X36),ISBLANK(Z36)),"",
              IF(V36="ALI",IF(AE36="L",7,IF(AE36="A",10,15)),
                 IF(V36="AIE",IF(AE36="L",5,IF(AE36="A",7,10)),
                    IF(V36="SE",IF(AE36="L",4,IF(AE36="A",5,7)),
                       IF(OR(V36="EE",V36="CE"),IF(AE36="L",3,IF(AE36="A",4,6)),""))))))))),
   IF('Dados da OS'!$D$8=Parâmetros!$B$5,
      IF(OR(AND(V36="INM",AG36&lt;&gt;"VF"),AND(AG36="VF",V36&lt;&gt;"INM")),"",
         IF(V36="INM",IF(AG36="VF",AF36*AB36,""),
            IF(V36="PE",4.6,
            IF(V36="AL",7,"")))),
   IF('Dados da OS'!$D$8=Parâmetros!$B$6,
      IF(V36="ALI",35,IF(V36="AIE",15,"")),""))
    )
)</f>
        <v>6</v>
      </c>
      <c r="AJ36" s="82">
        <f t="shared" si="8"/>
        <v>3</v>
      </c>
      <c r="AK36" s="84"/>
      <c r="AL36" s="85" t="s">
        <v>21</v>
      </c>
      <c r="AM36" s="86"/>
      <c r="AN36" s="85"/>
      <c r="AO36" s="87"/>
      <c r="AP36" s="85"/>
      <c r="AQ36" s="86"/>
      <c r="AR36" s="85"/>
    </row>
    <row r="37" spans="1:44" ht="15.75" customHeight="1">
      <c r="A37" s="54" t="s">
        <v>277</v>
      </c>
      <c r="B37" s="100" t="s">
        <v>121</v>
      </c>
      <c r="C37" s="55" t="s">
        <v>56</v>
      </c>
      <c r="D37" s="55">
        <v>21</v>
      </c>
      <c r="E37" s="56" t="s">
        <v>278</v>
      </c>
      <c r="F37" s="55">
        <v>2</v>
      </c>
      <c r="G37" s="56" t="s">
        <v>279</v>
      </c>
      <c r="H37" s="55"/>
      <c r="I37" s="64"/>
      <c r="J37" s="57" t="str">
        <f t="shared" si="9"/>
        <v>EEH</v>
      </c>
      <c r="K37" s="57" t="str">
        <f t="shared" si="10"/>
        <v>EEA50H3</v>
      </c>
      <c r="L37" s="57" t="str">
        <f xml:space="preserve">
IF(OR('Dados da OS'!$D$8=Parâmetros!$B$3,'Dados da OS'!$D$8=Parâmetros!$B$4),
  IF(OR(ISBLANK(D37),ISBLANK(F37)),
     IF(OR(B37="ALI",B37="AIE"),"L",IF(ISBLANK(B37),"","A")),
     IF(B37="EE",IF(F37&gt;=3,IF(D37&gt;=5,"H","A"),
     IF(F37&gt;=2,IF(D37&gt;=16,"H",IF(D37&lt;=4,"L","A")),IF(D37&lt;=15,"L","A"))),
     IF(OR(B37="SE",B37="CE"),IF(F37&gt;=4,IF(D37&gt;=6,"H","A"),IF(F37&gt;=2,IF(D37&gt;=20,"H",IF(D37&lt;=5,"L","A")),IF(D37&lt;=19,"L","A"))),
     IF(OR(B37="ALI",B37="AIE"),IF(F37&gt;=6,IF(D37&gt;=20,"H","A"),IF(F37&gt;=2,IF(D37&gt;=51,"H",IF(D37&lt;=19,"L","A")),IF(D37&lt;=50,"L","A"))))))),
IF('Dados da OS'!$D$8=Parâmetros!$B$6,"Indicativa",
IF('Dados da OS'!$D$8=Parâmetros!$B$5,"PFS","")))</f>
        <v>H</v>
      </c>
      <c r="M37" s="57">
        <f>IFERROR(VLOOKUP(C37,'Fatores de Impacto e INMs'!$A$3:$D$32,3,0),1)</f>
        <v>0.5</v>
      </c>
      <c r="N37" s="57" t="str">
        <f>IFERROR(VLOOKUP(C37,'Fatores de Impacto e INMs'!$A$3:$E$32,5,0),1)</f>
        <v>VP</v>
      </c>
      <c r="O37" s="63" t="str">
        <f xml:space="preserve">
IF(OR('Dados da OS'!$D$8="Selecione o tipo da contagem",ISBLANK('Dados da OS'!$D$8),B37="INM",B37="N/A",ISBLANK(B37),ISBLANK(C37),N37="VF"),"-",
   IF('Dados da OS'!$D$8=Parâmetros!$B$3,
      IF(OR(ISBLANK(D37),ISBLANK(F37)),"-",
         IF(L37="L","Baixa",IF(L37="A","Média",IF(L37="H","Alta","-")))),
      IF('Dados da OS'!$D$8=Parâmetros!$B$4,
         IF(OR(B37="ALI",B37="AIE"),"Baixa",IF(OR(B37="EE",B37="SE",B37="CE"),"Média","-")),
         IF(OR('Dados da OS'!$D$8=Parâmetros!$B$5,'Dados da OS'!$D$8=Parâmetros!$B$6),"-"))))</f>
        <v>Alta</v>
      </c>
      <c r="P37" s="59">
        <f xml:space="preserve">
IF(OR(ISBLANK(B37),ISBLANK(C37),B37="N/A",ISBLANK('Dados da OS'!$D$8)),"",
   IF(OR('Dados da OS'!$D$8=Parâmetros!$B$3,'Dados da OS'!$D$8=Parâmetros!$B$4),
      IF(OR(AND(B37="INM",N37&lt;&gt;"VF"),AND(N37="VF",B37&lt;&gt;"INM")),"",
        IF(AND(B37="INM",N37="VF"),IF(ISBLANK(H37),"",M37*H37),
        IF('Dados da OS'!$D$8=Parâmetros!$B$4,
           IF(OR(B37="CE",B37="EE"),4,IF(B37="SE",5,IF(B37="ALI",7,IF(B37="AIE",5,"")))),
        IF('Dados da OS'!$D$8=Parâmetros!$B$3,
           IF(OR(ISBLANK(D37),ISBLANK(F37)),"",
              IF(B37="ALI",IF(L37="L",7,IF(L37="A",10,15)),
                 IF(B37="AIE",IF(L37="L",5,IF(L37="A",7,10)),
                    IF(B37="SE",IF(L37="L",4,IF(L37="A",5,7)),
                       IF(OR(B37="EE",B37="CE"),IF(L37="L",3,IF(L37="A",4,6)),""))))))))),
   IF('Dados da OS'!$D$8=Parâmetros!$B$5,
      IF(OR(AND(B37="INM",N37&lt;&gt;"VF"),AND(N37="VF",B37&lt;&gt;"INM")),"",
         IF(B37="INM",IF(N37="VF",M37*H37,""),
            IF(B37="PE",4.6,
            IF(B37="AL",7,"")))),
   IF('Dados da OS'!$D$8=Parâmetros!$B$6,
      IF(B37="ALI",35,IF(B37="AIE",15,"")),""))
    )
)</f>
        <v>6</v>
      </c>
      <c r="Q37" s="60">
        <f t="shared" si="5"/>
        <v>3</v>
      </c>
      <c r="R37" s="61"/>
      <c r="S37" s="62" t="s">
        <v>330</v>
      </c>
      <c r="T37" s="80" t="s">
        <v>21</v>
      </c>
      <c r="U37" s="215" t="s">
        <v>214</v>
      </c>
      <c r="V37" s="99" t="s">
        <v>121</v>
      </c>
      <c r="W37" s="55" t="s">
        <v>56</v>
      </c>
      <c r="X37" s="55">
        <v>21</v>
      </c>
      <c r="Y37" s="56" t="s">
        <v>278</v>
      </c>
      <c r="Z37" s="55">
        <v>2</v>
      </c>
      <c r="AA37" s="56" t="s">
        <v>279</v>
      </c>
      <c r="AB37" s="55"/>
      <c r="AC37" s="57" t="str">
        <f t="shared" si="6"/>
        <v>EEH</v>
      </c>
      <c r="AD37" s="57" t="str">
        <f t="shared" si="7"/>
        <v>EEA50H3</v>
      </c>
      <c r="AE37" s="57" t="str">
        <f xml:space="preserve">
IF(OR('Dados da OS'!$D$8=Parâmetros!$B$3,'Dados da OS'!$D$8=Parâmetros!$B$4),
  IF(OR(ISBLANK(X37),ISBLANK(Z37)),
     IF(OR(V37="ALI",V37="AIE"),"L",IF(ISBLANK(V37),"","A")),
     IF(V37="EE",IF(Z37&gt;=3,IF(X37&gt;=5,"H","A"),
     IF(Z37&gt;=2,IF(X37&gt;=16,"H",IF(X37&lt;=4,"L","A")),IF(X37&lt;=15,"L","A"))),
     IF(OR(V37="SE",V37="CE"),IF(Z37&gt;=4,IF(X37&gt;=6,"H","A"),IF(Z37&gt;=2,IF(X37&gt;=20,"H",IF(X37&lt;=5,"L","A")),IF(X37&lt;=19,"L","A"))),
     IF(OR(V37="ALI",V37="AIE"),IF(Z37&gt;=6,IF(X37&gt;=20,"H","A"),IF(Z37&gt;=2,IF(X37&gt;=51,"H",IF(X37&lt;=19,"L","A")),IF(X37&lt;=50,"L","A"))))))),
IF('Dados da OS'!$D$8=Parâmetros!$B$6,"Indicativa",
IF('Dados da OS'!$D$8=Parâmetros!$B$5,"PFS","")))</f>
        <v>H</v>
      </c>
      <c r="AF37" s="57">
        <f>IFERROR(VLOOKUP(W37,'Fatores de Impacto e INMs'!$A$3:$D$32,3,0),1)</f>
        <v>0.5</v>
      </c>
      <c r="AG37" s="57" t="str">
        <f>IFERROR(VLOOKUP(W37,'Fatores de Impacto e INMs'!$A$3:$E$32,5,0),1)</f>
        <v>VP</v>
      </c>
      <c r="AH37" s="82" t="str">
        <f xml:space="preserve">
IF(OR('Dados da OS'!$D$8="Selecione o tipo da contagem",ISBLANK('Dados da OS'!$D$8),V37="INM",V37="N/A",ISBLANK(V37),ISBLANK(W37),AG37="VF"),"-",
   IF('Dados da OS'!$D$8=Parâmetros!$B$3,
      IF(OR(ISBLANK(X37),ISBLANK(Z37)),"-",
         IF(AE37="L","Baixa",IF(AE37="A","Média",IF(AE37="H","Alta","-")))),
      IF('Dados da OS'!$D$8=Parâmetros!$B$4,
         IF(OR(V37="ALI",V37="AIE"),"Baixa",IF(OR(V37="EE",V37="SE",V37="CE"),"Média","-")),
         IF(OR('Dados da OS'!$D$8=Parâmetros!$B$5,'Dados da OS'!$D$8=Parâmetros!$B$6),"-"))))</f>
        <v>Alta</v>
      </c>
      <c r="AI37" s="83">
        <f xml:space="preserve">
IF(OR(ISBLANK(V37),ISBLANK(U37),ISBLANK(W37),V37="N/A",ISBLANK('Dados da OS'!$D$8)),"",
   IF(OR('Dados da OS'!$D$8=Parâmetros!$B$3,'Dados da OS'!$D$8=Parâmetros!$B$4),
      IF(OR(AND(V37="INM",AG37&lt;&gt;"VF"),AND(AG37="VF",V37&lt;&gt;"INM")),"",
        IF(AND(V37="INM",AG37="VF"),IF(ISBLANK(AB37),"",AF37*AB37),
        IF('Dados da OS'!$D$8=Parâmetros!$B$4,
           IF(OR(V37="CE",V37="EE"),4,IF(V37="SE",5,IF(V37="ALI",7,IF(V37="AIE",5,"")))),
        IF('Dados da OS'!$D$8=Parâmetros!$B$3,
           IF(OR(ISBLANK(X37),ISBLANK(Z37)),"",
              IF(V37="ALI",IF(AE37="L",7,IF(AE37="A",10,15)),
                 IF(V37="AIE",IF(AE37="L",5,IF(AE37="A",7,10)),
                    IF(V37="SE",IF(AE37="L",4,IF(AE37="A",5,7)),
                       IF(OR(V37="EE",V37="CE"),IF(AE37="L",3,IF(AE37="A",4,6)),""))))))))),
   IF('Dados da OS'!$D$8=Parâmetros!$B$5,
      IF(OR(AND(V37="INM",AG37&lt;&gt;"VF"),AND(AG37="VF",V37&lt;&gt;"INM")),"",
         IF(V37="INM",IF(AG37="VF",AF37*AB37,""),
            IF(V37="PE",4.6,
            IF(V37="AL",7,"")))),
   IF('Dados da OS'!$D$8=Parâmetros!$B$6,
      IF(V37="ALI",35,IF(V37="AIE",15,"")),""))
    )
)</f>
        <v>6</v>
      </c>
      <c r="AJ37" s="82">
        <f t="shared" si="8"/>
        <v>3</v>
      </c>
      <c r="AK37" s="84"/>
      <c r="AL37" s="85" t="s">
        <v>21</v>
      </c>
      <c r="AM37" s="86"/>
      <c r="AN37" s="85"/>
      <c r="AO37" s="87"/>
      <c r="AP37" s="85"/>
      <c r="AQ37" s="86"/>
      <c r="AR37" s="85"/>
    </row>
    <row r="38" spans="1:44" ht="15.75" customHeight="1">
      <c r="A38" s="54" t="s">
        <v>280</v>
      </c>
      <c r="B38" s="100"/>
      <c r="C38" s="55"/>
      <c r="D38" s="55"/>
      <c r="E38" s="56"/>
      <c r="F38" s="55"/>
      <c r="G38" s="56"/>
      <c r="H38" s="55"/>
      <c r="I38" s="64"/>
      <c r="J38" s="57" t="str">
        <f t="shared" si="9"/>
        <v/>
      </c>
      <c r="K38" s="57" t="str">
        <f t="shared" si="10"/>
        <v/>
      </c>
      <c r="L38" s="57" t="str">
        <f xml:space="preserve">
IF(OR('Dados da OS'!$D$8=Parâmetros!$B$3,'Dados da OS'!$D$8=Parâmetros!$B$4),
  IF(OR(ISBLANK(D38),ISBLANK(F38)),
     IF(OR(B38="ALI",B38="AIE"),"L",IF(ISBLANK(B38),"","A")),
     IF(B38="EE",IF(F38&gt;=3,IF(D38&gt;=5,"H","A"),
     IF(F38&gt;=2,IF(D38&gt;=16,"H",IF(D38&lt;=4,"L","A")),IF(D38&lt;=15,"L","A"))),
     IF(OR(B38="SE",B38="CE"),IF(F38&gt;=4,IF(D38&gt;=6,"H","A"),IF(F38&gt;=2,IF(D38&gt;=20,"H",IF(D38&lt;=5,"L","A")),IF(D38&lt;=19,"L","A"))),
     IF(OR(B38="ALI",B38="AIE"),IF(F38&gt;=6,IF(D38&gt;=20,"H","A"),IF(F38&gt;=2,IF(D38&gt;=51,"H",IF(D38&lt;=19,"L","A")),IF(D38&lt;=50,"L","A"))))))),
IF('Dados da OS'!$D$8=Parâmetros!$B$6,"Indicativa",
IF('Dados da OS'!$D$8=Parâmetros!$B$5,"PFS","")))</f>
        <v/>
      </c>
      <c r="M38" s="57">
        <f>IFERROR(VLOOKUP(C38,'Fatores de Impacto e INMs'!$A$3:$D$32,3,0),1)</f>
        <v>1</v>
      </c>
      <c r="N38" s="57">
        <f>IFERROR(VLOOKUP(C38,'Fatores de Impacto e INMs'!$A$3:$E$32,5,0),1)</f>
        <v>1</v>
      </c>
      <c r="O38" s="63" t="str">
        <f xml:space="preserve">
IF(OR('Dados da OS'!$D$8="Selecione o tipo da contagem",ISBLANK('Dados da OS'!$D$8),B38="INM",B38="N/A",ISBLANK(B38),ISBLANK(C38),N38="VF"),"-",
   IF('Dados da OS'!$D$8=Parâmetros!$B$3,
      IF(OR(ISBLANK(D38),ISBLANK(F38)),"-",
         IF(L38="L","Baixa",IF(L38="A","Média",IF(L38="H","Alta","-")))),
      IF('Dados da OS'!$D$8=Parâmetros!$B$4,
         IF(OR(B38="ALI",B38="AIE"),"Baixa",IF(OR(B38="EE",B38="SE",B38="CE"),"Média","-")),
         IF(OR('Dados da OS'!$D$8=Parâmetros!$B$5,'Dados da OS'!$D$8=Parâmetros!$B$6),"-"))))</f>
        <v>-</v>
      </c>
      <c r="P38" s="59" t="str">
        <f xml:space="preserve">
IF(OR(ISBLANK(B38),ISBLANK(C38),B38="N/A",ISBLANK('Dados da OS'!$D$8)),"",
   IF(OR('Dados da OS'!$D$8=Parâmetros!$B$3,'Dados da OS'!$D$8=Parâmetros!$B$4),
      IF(OR(AND(B38="INM",N38&lt;&gt;"VF"),AND(N38="VF",B38&lt;&gt;"INM")),"",
        IF(AND(B38="INM",N38="VF"),IF(ISBLANK(H38),"",M38*H38),
        IF('Dados da OS'!$D$8=Parâmetros!$B$4,
           IF(OR(B38="CE",B38="EE"),4,IF(B38="SE",5,IF(B38="ALI",7,IF(B38="AIE",5,"")))),
        IF('Dados da OS'!$D$8=Parâmetros!$B$3,
           IF(OR(ISBLANK(D38),ISBLANK(F38)),"",
              IF(B38="ALI",IF(L38="L",7,IF(L38="A",10,15)),
                 IF(B38="AIE",IF(L38="L",5,IF(L38="A",7,10)),
                    IF(B38="SE",IF(L38="L",4,IF(L38="A",5,7)),
                       IF(OR(B38="EE",B38="CE"),IF(L38="L",3,IF(L38="A",4,6)),""))))))))),
   IF('Dados da OS'!$D$8=Parâmetros!$B$5,
      IF(OR(AND(B38="INM",N38&lt;&gt;"VF"),AND(N38="VF",B38&lt;&gt;"INM")),"",
         IF(B38="INM",IF(N38="VF",M38*H38,""),
            IF(B38="PE",4.6,
            IF(B38="AL",7,"")))),
   IF('Dados da OS'!$D$8=Parâmetros!$B$6,
      IF(B38="ALI",35,IF(B38="AIE",15,"")),""))
    )
)</f>
        <v/>
      </c>
      <c r="Q38" s="60" t="str">
        <f t="shared" si="5"/>
        <v/>
      </c>
      <c r="R38" s="61"/>
      <c r="S38" s="62"/>
      <c r="T38" s="80" t="s">
        <v>21</v>
      </c>
      <c r="U38" s="215"/>
      <c r="V38" s="99"/>
      <c r="W38" s="55"/>
      <c r="X38" s="55"/>
      <c r="Y38" s="56"/>
      <c r="Z38" s="55"/>
      <c r="AA38" s="56"/>
      <c r="AB38" s="55"/>
      <c r="AC38" s="57" t="str">
        <f t="shared" si="6"/>
        <v/>
      </c>
      <c r="AD38" s="57" t="str">
        <f t="shared" si="7"/>
        <v/>
      </c>
      <c r="AE38" s="57" t="str">
        <f xml:space="preserve">
IF(OR('Dados da OS'!$D$8=Parâmetros!$B$3,'Dados da OS'!$D$8=Parâmetros!$B$4),
  IF(OR(ISBLANK(X38),ISBLANK(Z38)),
     IF(OR(V38="ALI",V38="AIE"),"L",IF(ISBLANK(V38),"","A")),
     IF(V38="EE",IF(Z38&gt;=3,IF(X38&gt;=5,"H","A"),
     IF(Z38&gt;=2,IF(X38&gt;=16,"H",IF(X38&lt;=4,"L","A")),IF(X38&lt;=15,"L","A"))),
     IF(OR(V38="SE",V38="CE"),IF(Z38&gt;=4,IF(X38&gt;=6,"H","A"),IF(Z38&gt;=2,IF(X38&gt;=20,"H",IF(X38&lt;=5,"L","A")),IF(X38&lt;=19,"L","A"))),
     IF(OR(V38="ALI",V38="AIE"),IF(Z38&gt;=6,IF(X38&gt;=20,"H","A"),IF(Z38&gt;=2,IF(X38&gt;=51,"H",IF(X38&lt;=19,"L","A")),IF(X38&lt;=50,"L","A"))))))),
IF('Dados da OS'!$D$8=Parâmetros!$B$6,"Indicativa",
IF('Dados da OS'!$D$8=Parâmetros!$B$5,"PFS","")))</f>
        <v/>
      </c>
      <c r="AF38" s="57">
        <f>IFERROR(VLOOKUP(W38,'Fatores de Impacto e INMs'!$A$3:$D$32,3,0),1)</f>
        <v>1</v>
      </c>
      <c r="AG38" s="57">
        <f>IFERROR(VLOOKUP(W38,'Fatores de Impacto e INMs'!$A$3:$E$32,5,0),1)</f>
        <v>1</v>
      </c>
      <c r="AH38" s="82" t="str">
        <f xml:space="preserve">
IF(OR('Dados da OS'!$D$8="Selecione o tipo da contagem",ISBLANK('Dados da OS'!$D$8),V38="INM",V38="N/A",ISBLANK(V38),ISBLANK(W38),AG38="VF"),"-",
   IF('Dados da OS'!$D$8=Parâmetros!$B$3,
      IF(OR(ISBLANK(X38),ISBLANK(Z38)),"-",
         IF(AE38="L","Baixa",IF(AE38="A","Média",IF(AE38="H","Alta","-")))),
      IF('Dados da OS'!$D$8=Parâmetros!$B$4,
         IF(OR(V38="ALI",V38="AIE"),"Baixa",IF(OR(V38="EE",V38="SE",V38="CE"),"Média","-")),
         IF(OR('Dados da OS'!$D$8=Parâmetros!$B$5,'Dados da OS'!$D$8=Parâmetros!$B$6),"-"))))</f>
        <v>-</v>
      </c>
      <c r="AI38" s="83" t="str">
        <f xml:space="preserve">
IF(OR(ISBLANK(V38),ISBLANK(U38),ISBLANK(W38),V38="N/A",ISBLANK('Dados da OS'!$D$8)),"",
   IF(OR('Dados da OS'!$D$8=Parâmetros!$B$3,'Dados da OS'!$D$8=Parâmetros!$B$4),
      IF(OR(AND(V38="INM",AG38&lt;&gt;"VF"),AND(AG38="VF",V38&lt;&gt;"INM")),"",
        IF(AND(V38="INM",AG38="VF"),IF(ISBLANK(AB38),"",AF38*AB38),
        IF('Dados da OS'!$D$8=Parâmetros!$B$4,
           IF(OR(V38="CE",V38="EE"),4,IF(V38="SE",5,IF(V38="ALI",7,IF(V38="AIE",5,"")))),
        IF('Dados da OS'!$D$8=Parâmetros!$B$3,
           IF(OR(ISBLANK(X38),ISBLANK(Z38)),"",
              IF(V38="ALI",IF(AE38="L",7,IF(AE38="A",10,15)),
                 IF(V38="AIE",IF(AE38="L",5,IF(AE38="A",7,10)),
                    IF(V38="SE",IF(AE38="L",4,IF(AE38="A",5,7)),
                       IF(OR(V38="EE",V38="CE"),IF(AE38="L",3,IF(AE38="A",4,6)),""))))))))),
   IF('Dados da OS'!$D$8=Parâmetros!$B$5,
      IF(OR(AND(V38="INM",AG38&lt;&gt;"VF"),AND(AG38="VF",V38&lt;&gt;"INM")),"",
         IF(V38="INM",IF(AG38="VF",AF38*AB38,""),
            IF(V38="PE",4.6,
            IF(V38="AL",7,"")))),
   IF('Dados da OS'!$D$8=Parâmetros!$B$6,
      IF(V38="ALI",35,IF(V38="AIE",15,"")),""))
    )
)</f>
        <v/>
      </c>
      <c r="AJ38" s="82" t="str">
        <f t="shared" si="8"/>
        <v/>
      </c>
      <c r="AK38" s="84"/>
      <c r="AL38" s="85" t="s">
        <v>21</v>
      </c>
      <c r="AM38" s="86"/>
      <c r="AN38" s="85"/>
      <c r="AO38" s="87"/>
      <c r="AP38" s="85"/>
      <c r="AQ38" s="86"/>
      <c r="AR38" s="85"/>
    </row>
    <row r="39" spans="1:44" ht="15.75" customHeight="1">
      <c r="A39" s="54" t="s">
        <v>281</v>
      </c>
      <c r="B39" s="100" t="s">
        <v>122</v>
      </c>
      <c r="C39" s="55" t="s">
        <v>56</v>
      </c>
      <c r="D39" s="55">
        <v>7</v>
      </c>
      <c r="E39" s="56" t="s">
        <v>282</v>
      </c>
      <c r="F39" s="55">
        <v>1</v>
      </c>
      <c r="G39" s="56" t="s">
        <v>272</v>
      </c>
      <c r="H39" s="55"/>
      <c r="I39" s="64"/>
      <c r="J39" s="57" t="str">
        <f t="shared" si="9"/>
        <v>CEL</v>
      </c>
      <c r="K39" s="57" t="str">
        <f t="shared" si="10"/>
        <v>CEA50L1,5</v>
      </c>
      <c r="L39" s="57" t="str">
        <f xml:space="preserve">
IF(OR('Dados da OS'!$D$8=Parâmetros!$B$3,'Dados da OS'!$D$8=Parâmetros!$B$4),
  IF(OR(ISBLANK(D39),ISBLANK(F39)),
     IF(OR(B39="ALI",B39="AIE"),"L",IF(ISBLANK(B39),"","A")),
     IF(B39="EE",IF(F39&gt;=3,IF(D39&gt;=5,"H","A"),
     IF(F39&gt;=2,IF(D39&gt;=16,"H",IF(D39&lt;=4,"L","A")),IF(D39&lt;=15,"L","A"))),
     IF(OR(B39="SE",B39="CE"),IF(F39&gt;=4,IF(D39&gt;=6,"H","A"),IF(F39&gt;=2,IF(D39&gt;=20,"H",IF(D39&lt;=5,"L","A")),IF(D39&lt;=19,"L","A"))),
     IF(OR(B39="ALI",B39="AIE"),IF(F39&gt;=6,IF(D39&gt;=20,"H","A"),IF(F39&gt;=2,IF(D39&gt;=51,"H",IF(D39&lt;=19,"L","A")),IF(D39&lt;=50,"L","A"))))))),
IF('Dados da OS'!$D$8=Parâmetros!$B$6,"Indicativa",
IF('Dados da OS'!$D$8=Parâmetros!$B$5,"PFS","")))</f>
        <v>L</v>
      </c>
      <c r="M39" s="57">
        <f>IFERROR(VLOOKUP(C39,'Fatores de Impacto e INMs'!$A$3:$D$32,3,0),1)</f>
        <v>0.5</v>
      </c>
      <c r="N39" s="57" t="str">
        <f>IFERROR(VLOOKUP(C39,'Fatores de Impacto e INMs'!$A$3:$E$32,5,0),1)</f>
        <v>VP</v>
      </c>
      <c r="O39" s="63" t="str">
        <f xml:space="preserve">
IF(OR('Dados da OS'!$D$8="Selecione o tipo da contagem",ISBLANK('Dados da OS'!$D$8),B39="INM",B39="N/A",ISBLANK(B39),ISBLANK(C39),N39="VF"),"-",
   IF('Dados da OS'!$D$8=Parâmetros!$B$3,
      IF(OR(ISBLANK(D39),ISBLANK(F39)),"-",
         IF(L39="L","Baixa",IF(L39="A","Média",IF(L39="H","Alta","-")))),
      IF('Dados da OS'!$D$8=Parâmetros!$B$4,
         IF(OR(B39="ALI",B39="AIE"),"Baixa",IF(OR(B39="EE",B39="SE",B39="CE"),"Média","-")),
         IF(OR('Dados da OS'!$D$8=Parâmetros!$B$5,'Dados da OS'!$D$8=Parâmetros!$B$6),"-"))))</f>
        <v>Baixa</v>
      </c>
      <c r="P39" s="59">
        <f xml:space="preserve">
IF(OR(ISBLANK(B39),ISBLANK(C39),B39="N/A",ISBLANK('Dados da OS'!$D$8)),"",
   IF(OR('Dados da OS'!$D$8=Parâmetros!$B$3,'Dados da OS'!$D$8=Parâmetros!$B$4),
      IF(OR(AND(B39="INM",N39&lt;&gt;"VF"),AND(N39="VF",B39&lt;&gt;"INM")),"",
        IF(AND(B39="INM",N39="VF"),IF(ISBLANK(H39),"",M39*H39),
        IF('Dados da OS'!$D$8=Parâmetros!$B$4,
           IF(OR(B39="CE",B39="EE"),4,IF(B39="SE",5,IF(B39="ALI",7,IF(B39="AIE",5,"")))),
        IF('Dados da OS'!$D$8=Parâmetros!$B$3,
           IF(OR(ISBLANK(D39),ISBLANK(F39)),"",
              IF(B39="ALI",IF(L39="L",7,IF(L39="A",10,15)),
                 IF(B39="AIE",IF(L39="L",5,IF(L39="A",7,10)),
                    IF(B39="SE",IF(L39="L",4,IF(L39="A",5,7)),
                       IF(OR(B39="EE",B39="CE"),IF(L39="L",3,IF(L39="A",4,6)),""))))))))),
   IF('Dados da OS'!$D$8=Parâmetros!$B$5,
      IF(OR(AND(B39="INM",N39&lt;&gt;"VF"),AND(N39="VF",B39&lt;&gt;"INM")),"",
         IF(B39="INM",IF(N39="VF",M39*H39,""),
            IF(B39="PE",4.6,
            IF(B39="AL",7,"")))),
   IF('Dados da OS'!$D$8=Parâmetros!$B$6,
      IF(B39="ALI",35,IF(B39="AIE",15,"")),""))
    )
)</f>
        <v>3</v>
      </c>
      <c r="Q39" s="60">
        <f t="shared" si="5"/>
        <v>1.5</v>
      </c>
      <c r="R39" s="61"/>
      <c r="S39" s="62" t="s">
        <v>331</v>
      </c>
      <c r="T39" s="80" t="s">
        <v>21</v>
      </c>
      <c r="U39" s="215" t="s">
        <v>214</v>
      </c>
      <c r="V39" s="99" t="s">
        <v>122</v>
      </c>
      <c r="W39" s="55" t="s">
        <v>56</v>
      </c>
      <c r="X39" s="55">
        <v>7</v>
      </c>
      <c r="Y39" s="56" t="s">
        <v>282</v>
      </c>
      <c r="Z39" s="55">
        <v>1</v>
      </c>
      <c r="AA39" s="56" t="s">
        <v>272</v>
      </c>
      <c r="AB39" s="55"/>
      <c r="AC39" s="57" t="str">
        <f t="shared" si="6"/>
        <v>CEL</v>
      </c>
      <c r="AD39" s="57" t="str">
        <f t="shared" si="7"/>
        <v>CEA50L1,5</v>
      </c>
      <c r="AE39" s="57" t="str">
        <f xml:space="preserve">
IF(OR('Dados da OS'!$D$8=Parâmetros!$B$3,'Dados da OS'!$D$8=Parâmetros!$B$4),
  IF(OR(ISBLANK(X39),ISBLANK(Z39)),
     IF(OR(V39="ALI",V39="AIE"),"L",IF(ISBLANK(V39),"","A")),
     IF(V39="EE",IF(Z39&gt;=3,IF(X39&gt;=5,"H","A"),
     IF(Z39&gt;=2,IF(X39&gt;=16,"H",IF(X39&lt;=4,"L","A")),IF(X39&lt;=15,"L","A"))),
     IF(OR(V39="SE",V39="CE"),IF(Z39&gt;=4,IF(X39&gt;=6,"H","A"),IF(Z39&gt;=2,IF(X39&gt;=20,"H",IF(X39&lt;=5,"L","A")),IF(X39&lt;=19,"L","A"))),
     IF(OR(V39="ALI",V39="AIE"),IF(Z39&gt;=6,IF(X39&gt;=20,"H","A"),IF(Z39&gt;=2,IF(X39&gt;=51,"H",IF(X39&lt;=19,"L","A")),IF(X39&lt;=50,"L","A"))))))),
IF('Dados da OS'!$D$8=Parâmetros!$B$6,"Indicativa",
IF('Dados da OS'!$D$8=Parâmetros!$B$5,"PFS","")))</f>
        <v>L</v>
      </c>
      <c r="AF39" s="57">
        <f>IFERROR(VLOOKUP(W39,'Fatores de Impacto e INMs'!$A$3:$D$32,3,0),1)</f>
        <v>0.5</v>
      </c>
      <c r="AG39" s="57" t="str">
        <f>IFERROR(VLOOKUP(W39,'Fatores de Impacto e INMs'!$A$3:$E$32,5,0),1)</f>
        <v>VP</v>
      </c>
      <c r="AH39" s="82" t="str">
        <f xml:space="preserve">
IF(OR('Dados da OS'!$D$8="Selecione o tipo da contagem",ISBLANK('Dados da OS'!$D$8),V39="INM",V39="N/A",ISBLANK(V39),ISBLANK(W39),AG39="VF"),"-",
   IF('Dados da OS'!$D$8=Parâmetros!$B$3,
      IF(OR(ISBLANK(X39),ISBLANK(Z39)),"-",
         IF(AE39="L","Baixa",IF(AE39="A","Média",IF(AE39="H","Alta","-")))),
      IF('Dados da OS'!$D$8=Parâmetros!$B$4,
         IF(OR(V39="ALI",V39="AIE"),"Baixa",IF(OR(V39="EE",V39="SE",V39="CE"),"Média","-")),
         IF(OR('Dados da OS'!$D$8=Parâmetros!$B$5,'Dados da OS'!$D$8=Parâmetros!$B$6),"-"))))</f>
        <v>Baixa</v>
      </c>
      <c r="AI39" s="83">
        <f xml:space="preserve">
IF(OR(ISBLANK(V39),ISBLANK(U39),ISBLANK(W39),V39="N/A",ISBLANK('Dados da OS'!$D$8)),"",
   IF(OR('Dados da OS'!$D$8=Parâmetros!$B$3,'Dados da OS'!$D$8=Parâmetros!$B$4),
      IF(OR(AND(V39="INM",AG39&lt;&gt;"VF"),AND(AG39="VF",V39&lt;&gt;"INM")),"",
        IF(AND(V39="INM",AG39="VF"),IF(ISBLANK(AB39),"",AF39*AB39),
        IF('Dados da OS'!$D$8=Parâmetros!$B$4,
           IF(OR(V39="CE",V39="EE"),4,IF(V39="SE",5,IF(V39="ALI",7,IF(V39="AIE",5,"")))),
        IF('Dados da OS'!$D$8=Parâmetros!$B$3,
           IF(OR(ISBLANK(X39),ISBLANK(Z39)),"",
              IF(V39="ALI",IF(AE39="L",7,IF(AE39="A",10,15)),
                 IF(V39="AIE",IF(AE39="L",5,IF(AE39="A",7,10)),
                    IF(V39="SE",IF(AE39="L",4,IF(AE39="A",5,7)),
                       IF(OR(V39="EE",V39="CE"),IF(AE39="L",3,IF(AE39="A",4,6)),""))))))))),
   IF('Dados da OS'!$D$8=Parâmetros!$B$5,
      IF(OR(AND(V39="INM",AG39&lt;&gt;"VF"),AND(AG39="VF",V39&lt;&gt;"INM")),"",
         IF(V39="INM",IF(AG39="VF",AF39*AB39,""),
            IF(V39="PE",4.6,
            IF(V39="AL",7,"")))),
   IF('Dados da OS'!$D$8=Parâmetros!$B$6,
      IF(V39="ALI",35,IF(V39="AIE",15,"")),""))
    )
)</f>
        <v>3</v>
      </c>
      <c r="AJ39" s="82">
        <f t="shared" si="8"/>
        <v>1.5</v>
      </c>
      <c r="AK39" s="84"/>
      <c r="AL39" s="85" t="s">
        <v>21</v>
      </c>
      <c r="AM39" s="86"/>
      <c r="AN39" s="85"/>
      <c r="AO39" s="87"/>
      <c r="AP39" s="85"/>
      <c r="AQ39" s="86"/>
      <c r="AR39" s="85"/>
    </row>
    <row r="40" spans="1:44" ht="15.75" customHeight="1">
      <c r="A40" s="54" t="s">
        <v>283</v>
      </c>
      <c r="B40" s="100" t="s">
        <v>121</v>
      </c>
      <c r="C40" s="55" t="s">
        <v>56</v>
      </c>
      <c r="D40" s="55">
        <v>26</v>
      </c>
      <c r="E40" s="56" t="s">
        <v>284</v>
      </c>
      <c r="F40" s="55">
        <v>3</v>
      </c>
      <c r="G40" s="56" t="s">
        <v>285</v>
      </c>
      <c r="H40" s="55"/>
      <c r="I40" s="64"/>
      <c r="J40" s="57" t="str">
        <f t="shared" si="9"/>
        <v>EEH</v>
      </c>
      <c r="K40" s="57" t="str">
        <f t="shared" si="10"/>
        <v>EEA50H3</v>
      </c>
      <c r="L40" s="57" t="str">
        <f xml:space="preserve">
IF(OR('Dados da OS'!$D$8=Parâmetros!$B$3,'Dados da OS'!$D$8=Parâmetros!$B$4),
  IF(OR(ISBLANK(D40),ISBLANK(F40)),
     IF(OR(B40="ALI",B40="AIE"),"L",IF(ISBLANK(B40),"","A")),
     IF(B40="EE",IF(F40&gt;=3,IF(D40&gt;=5,"H","A"),
     IF(F40&gt;=2,IF(D40&gt;=16,"H",IF(D40&lt;=4,"L","A")),IF(D40&lt;=15,"L","A"))),
     IF(OR(B40="SE",B40="CE"),IF(F40&gt;=4,IF(D40&gt;=6,"H","A"),IF(F40&gt;=2,IF(D40&gt;=20,"H",IF(D40&lt;=5,"L","A")),IF(D40&lt;=19,"L","A"))),
     IF(OR(B40="ALI",B40="AIE"),IF(F40&gt;=6,IF(D40&gt;=20,"H","A"),IF(F40&gt;=2,IF(D40&gt;=51,"H",IF(D40&lt;=19,"L","A")),IF(D40&lt;=50,"L","A"))))))),
IF('Dados da OS'!$D$8=Parâmetros!$B$6,"Indicativa",
IF('Dados da OS'!$D$8=Parâmetros!$B$5,"PFS","")))</f>
        <v>H</v>
      </c>
      <c r="M40" s="57">
        <f>IFERROR(VLOOKUP(C40,'Fatores de Impacto e INMs'!$A$3:$D$32,3,0),1)</f>
        <v>0.5</v>
      </c>
      <c r="N40" s="57" t="str">
        <f>IFERROR(VLOOKUP(C40,'Fatores de Impacto e INMs'!$A$3:$E$32,5,0),1)</f>
        <v>VP</v>
      </c>
      <c r="O40" s="63" t="str">
        <f xml:space="preserve">
IF(OR('Dados da OS'!$D$8="Selecione o tipo da contagem",ISBLANK('Dados da OS'!$D$8),B40="INM",B40="N/A",ISBLANK(B40),ISBLANK(C40),N40="VF"),"-",
   IF('Dados da OS'!$D$8=Parâmetros!$B$3,
      IF(OR(ISBLANK(D40),ISBLANK(F40)),"-",
         IF(L40="L","Baixa",IF(L40="A","Média",IF(L40="H","Alta","-")))),
      IF('Dados da OS'!$D$8=Parâmetros!$B$4,
         IF(OR(B40="ALI",B40="AIE"),"Baixa",IF(OR(B40="EE",B40="SE",B40="CE"),"Média","-")),
         IF(OR('Dados da OS'!$D$8=Parâmetros!$B$5,'Dados da OS'!$D$8=Parâmetros!$B$6),"-"))))</f>
        <v>Alta</v>
      </c>
      <c r="P40" s="59">
        <f xml:space="preserve">
IF(OR(ISBLANK(B40),ISBLANK(C40),B40="N/A",ISBLANK('Dados da OS'!$D$8)),"",
   IF(OR('Dados da OS'!$D$8=Parâmetros!$B$3,'Dados da OS'!$D$8=Parâmetros!$B$4),
      IF(OR(AND(B40="INM",N40&lt;&gt;"VF"),AND(N40="VF",B40&lt;&gt;"INM")),"",
        IF(AND(B40="INM",N40="VF"),IF(ISBLANK(H40),"",M40*H40),
        IF('Dados da OS'!$D$8=Parâmetros!$B$4,
           IF(OR(B40="CE",B40="EE"),4,IF(B40="SE",5,IF(B40="ALI",7,IF(B40="AIE",5,"")))),
        IF('Dados da OS'!$D$8=Parâmetros!$B$3,
           IF(OR(ISBLANK(D40),ISBLANK(F40)),"",
              IF(B40="ALI",IF(L40="L",7,IF(L40="A",10,15)),
                 IF(B40="AIE",IF(L40="L",5,IF(L40="A",7,10)),
                    IF(B40="SE",IF(L40="L",4,IF(L40="A",5,7)),
                       IF(OR(B40="EE",B40="CE"),IF(L40="L",3,IF(L40="A",4,6)),""))))))))),
   IF('Dados da OS'!$D$8=Parâmetros!$B$5,
      IF(OR(AND(B40="INM",N40&lt;&gt;"VF"),AND(N40="VF",B40&lt;&gt;"INM")),"",
         IF(B40="INM",IF(N40="VF",M40*H40,""),
            IF(B40="PE",4.6,
            IF(B40="AL",7,"")))),
   IF('Dados da OS'!$D$8=Parâmetros!$B$6,
      IF(B40="ALI",35,IF(B40="AIE",15,"")),""))
    )
)</f>
        <v>6</v>
      </c>
      <c r="Q40" s="60">
        <f t="shared" si="5"/>
        <v>3</v>
      </c>
      <c r="R40" s="61"/>
      <c r="S40" s="62" t="s">
        <v>331</v>
      </c>
      <c r="T40" s="80" t="s">
        <v>21</v>
      </c>
      <c r="U40" s="215" t="s">
        <v>214</v>
      </c>
      <c r="V40" s="99" t="s">
        <v>121</v>
      </c>
      <c r="W40" s="55" t="s">
        <v>56</v>
      </c>
      <c r="X40" s="55">
        <v>26</v>
      </c>
      <c r="Y40" s="56" t="s">
        <v>284</v>
      </c>
      <c r="Z40" s="55">
        <v>3</v>
      </c>
      <c r="AA40" s="56" t="s">
        <v>285</v>
      </c>
      <c r="AB40" s="55"/>
      <c r="AC40" s="57" t="str">
        <f t="shared" si="6"/>
        <v>EEH</v>
      </c>
      <c r="AD40" s="57" t="str">
        <f t="shared" si="7"/>
        <v>EEA50H3</v>
      </c>
      <c r="AE40" s="57" t="str">
        <f xml:space="preserve">
IF(OR('Dados da OS'!$D$8=Parâmetros!$B$3,'Dados da OS'!$D$8=Parâmetros!$B$4),
  IF(OR(ISBLANK(X40),ISBLANK(Z40)),
     IF(OR(V40="ALI",V40="AIE"),"L",IF(ISBLANK(V40),"","A")),
     IF(V40="EE",IF(Z40&gt;=3,IF(X40&gt;=5,"H","A"),
     IF(Z40&gt;=2,IF(X40&gt;=16,"H",IF(X40&lt;=4,"L","A")),IF(X40&lt;=15,"L","A"))),
     IF(OR(V40="SE",V40="CE"),IF(Z40&gt;=4,IF(X40&gt;=6,"H","A"),IF(Z40&gt;=2,IF(X40&gt;=20,"H",IF(X40&lt;=5,"L","A")),IF(X40&lt;=19,"L","A"))),
     IF(OR(V40="ALI",V40="AIE"),IF(Z40&gt;=6,IF(X40&gt;=20,"H","A"),IF(Z40&gt;=2,IF(X40&gt;=51,"H",IF(X40&lt;=19,"L","A")),IF(X40&lt;=50,"L","A"))))))),
IF('Dados da OS'!$D$8=Parâmetros!$B$6,"Indicativa",
IF('Dados da OS'!$D$8=Parâmetros!$B$5,"PFS","")))</f>
        <v>H</v>
      </c>
      <c r="AF40" s="57">
        <f>IFERROR(VLOOKUP(W40,'Fatores de Impacto e INMs'!$A$3:$D$32,3,0),1)</f>
        <v>0.5</v>
      </c>
      <c r="AG40" s="57" t="str">
        <f>IFERROR(VLOOKUP(W40,'Fatores de Impacto e INMs'!$A$3:$E$32,5,0),1)</f>
        <v>VP</v>
      </c>
      <c r="AH40" s="82" t="str">
        <f xml:space="preserve">
IF(OR('Dados da OS'!$D$8="Selecione o tipo da contagem",ISBLANK('Dados da OS'!$D$8),V40="INM",V40="N/A",ISBLANK(V40),ISBLANK(W40),AG40="VF"),"-",
   IF('Dados da OS'!$D$8=Parâmetros!$B$3,
      IF(OR(ISBLANK(X40),ISBLANK(Z40)),"-",
         IF(AE40="L","Baixa",IF(AE40="A","Média",IF(AE40="H","Alta","-")))),
      IF('Dados da OS'!$D$8=Parâmetros!$B$4,
         IF(OR(V40="ALI",V40="AIE"),"Baixa",IF(OR(V40="EE",V40="SE",V40="CE"),"Média","-")),
         IF(OR('Dados da OS'!$D$8=Parâmetros!$B$5,'Dados da OS'!$D$8=Parâmetros!$B$6),"-"))))</f>
        <v>Alta</v>
      </c>
      <c r="AI40" s="83">
        <f xml:space="preserve">
IF(OR(ISBLANK(V40),ISBLANK(U40),ISBLANK(W40),V40="N/A",ISBLANK('Dados da OS'!$D$8)),"",
   IF(OR('Dados da OS'!$D$8=Parâmetros!$B$3,'Dados da OS'!$D$8=Parâmetros!$B$4),
      IF(OR(AND(V40="INM",AG40&lt;&gt;"VF"),AND(AG40="VF",V40&lt;&gt;"INM")),"",
        IF(AND(V40="INM",AG40="VF"),IF(ISBLANK(AB40),"",AF40*AB40),
        IF('Dados da OS'!$D$8=Parâmetros!$B$4,
           IF(OR(V40="CE",V40="EE"),4,IF(V40="SE",5,IF(V40="ALI",7,IF(V40="AIE",5,"")))),
        IF('Dados da OS'!$D$8=Parâmetros!$B$3,
           IF(OR(ISBLANK(X40),ISBLANK(Z40)),"",
              IF(V40="ALI",IF(AE40="L",7,IF(AE40="A",10,15)),
                 IF(V40="AIE",IF(AE40="L",5,IF(AE40="A",7,10)),
                    IF(V40="SE",IF(AE40="L",4,IF(AE40="A",5,7)),
                       IF(OR(V40="EE",V40="CE"),IF(AE40="L",3,IF(AE40="A",4,6)),""))))))))),
   IF('Dados da OS'!$D$8=Parâmetros!$B$5,
      IF(OR(AND(V40="INM",AG40&lt;&gt;"VF"),AND(AG40="VF",V40&lt;&gt;"INM")),"",
         IF(V40="INM",IF(AG40="VF",AF40*AB40,""),
            IF(V40="PE",4.6,
            IF(V40="AL",7,"")))),
   IF('Dados da OS'!$D$8=Parâmetros!$B$6,
      IF(V40="ALI",35,IF(V40="AIE",15,"")),""))
    )
)</f>
        <v>6</v>
      </c>
      <c r="AJ40" s="82">
        <f t="shared" si="8"/>
        <v>3</v>
      </c>
      <c r="AK40" s="84"/>
      <c r="AL40" s="85" t="s">
        <v>21</v>
      </c>
      <c r="AM40" s="86"/>
      <c r="AN40" s="85"/>
      <c r="AO40" s="87"/>
      <c r="AP40" s="85"/>
      <c r="AQ40" s="86"/>
      <c r="AR40" s="85"/>
    </row>
    <row r="41" spans="1:44" ht="15.75" customHeight="1">
      <c r="A41" s="54" t="s">
        <v>286</v>
      </c>
      <c r="B41" s="100" t="s">
        <v>121</v>
      </c>
      <c r="C41" s="55" t="s">
        <v>56</v>
      </c>
      <c r="D41" s="55">
        <v>26</v>
      </c>
      <c r="E41" s="56" t="s">
        <v>284</v>
      </c>
      <c r="F41" s="55">
        <v>3</v>
      </c>
      <c r="G41" s="56" t="s">
        <v>285</v>
      </c>
      <c r="H41" s="55"/>
      <c r="I41" s="64"/>
      <c r="J41" s="57" t="str">
        <f t="shared" si="9"/>
        <v>EEH</v>
      </c>
      <c r="K41" s="57" t="str">
        <f t="shared" si="10"/>
        <v>EEA50H3</v>
      </c>
      <c r="L41" s="57" t="str">
        <f xml:space="preserve">
IF(OR('Dados da OS'!$D$8=Parâmetros!$B$3,'Dados da OS'!$D$8=Parâmetros!$B$4),
  IF(OR(ISBLANK(D41),ISBLANK(F41)),
     IF(OR(B41="ALI",B41="AIE"),"L",IF(ISBLANK(B41),"","A")),
     IF(B41="EE",IF(F41&gt;=3,IF(D41&gt;=5,"H","A"),
     IF(F41&gt;=2,IF(D41&gt;=16,"H",IF(D41&lt;=4,"L","A")),IF(D41&lt;=15,"L","A"))),
     IF(OR(B41="SE",B41="CE"),IF(F41&gt;=4,IF(D41&gt;=6,"H","A"),IF(F41&gt;=2,IF(D41&gt;=20,"H",IF(D41&lt;=5,"L","A")),IF(D41&lt;=19,"L","A"))),
     IF(OR(B41="ALI",B41="AIE"),IF(F41&gt;=6,IF(D41&gt;=20,"H","A"),IF(F41&gt;=2,IF(D41&gt;=51,"H",IF(D41&lt;=19,"L","A")),IF(D41&lt;=50,"L","A"))))))),
IF('Dados da OS'!$D$8=Parâmetros!$B$6,"Indicativa",
IF('Dados da OS'!$D$8=Parâmetros!$B$5,"PFS","")))</f>
        <v>H</v>
      </c>
      <c r="M41" s="57">
        <f>IFERROR(VLOOKUP(C41,'Fatores de Impacto e INMs'!$A$3:$D$32,3,0),1)</f>
        <v>0.5</v>
      </c>
      <c r="N41" s="57" t="str">
        <f>IFERROR(VLOOKUP(C41,'Fatores de Impacto e INMs'!$A$3:$E$32,5,0),1)</f>
        <v>VP</v>
      </c>
      <c r="O41" s="63" t="str">
        <f xml:space="preserve">
IF(OR('Dados da OS'!$D$8="Selecione o tipo da contagem",ISBLANK('Dados da OS'!$D$8),B41="INM",B41="N/A",ISBLANK(B41),ISBLANK(C41),N41="VF"),"-",
   IF('Dados da OS'!$D$8=Parâmetros!$B$3,
      IF(OR(ISBLANK(D41),ISBLANK(F41)),"-",
         IF(L41="L","Baixa",IF(L41="A","Média",IF(L41="H","Alta","-")))),
      IF('Dados da OS'!$D$8=Parâmetros!$B$4,
         IF(OR(B41="ALI",B41="AIE"),"Baixa",IF(OR(B41="EE",B41="SE",B41="CE"),"Média","-")),
         IF(OR('Dados da OS'!$D$8=Parâmetros!$B$5,'Dados da OS'!$D$8=Parâmetros!$B$6),"-"))))</f>
        <v>Alta</v>
      </c>
      <c r="P41" s="59">
        <f xml:space="preserve">
IF(OR(ISBLANK(B41),ISBLANK(C41),B41="N/A",ISBLANK('Dados da OS'!$D$8)),"",
   IF(OR('Dados da OS'!$D$8=Parâmetros!$B$3,'Dados da OS'!$D$8=Parâmetros!$B$4),
      IF(OR(AND(B41="INM",N41&lt;&gt;"VF"),AND(N41="VF",B41&lt;&gt;"INM")),"",
        IF(AND(B41="INM",N41="VF"),IF(ISBLANK(H41),"",M41*H41),
        IF('Dados da OS'!$D$8=Parâmetros!$B$4,
           IF(OR(B41="CE",B41="EE"),4,IF(B41="SE",5,IF(B41="ALI",7,IF(B41="AIE",5,"")))),
        IF('Dados da OS'!$D$8=Parâmetros!$B$3,
           IF(OR(ISBLANK(D41),ISBLANK(F41)),"",
              IF(B41="ALI",IF(L41="L",7,IF(L41="A",10,15)),
                 IF(B41="AIE",IF(L41="L",5,IF(L41="A",7,10)),
                    IF(B41="SE",IF(L41="L",4,IF(L41="A",5,7)),
                       IF(OR(B41="EE",B41="CE"),IF(L41="L",3,IF(L41="A",4,6)),""))))))))),
   IF('Dados da OS'!$D$8=Parâmetros!$B$5,
      IF(OR(AND(B41="INM",N41&lt;&gt;"VF"),AND(N41="VF",B41&lt;&gt;"INM")),"",
         IF(B41="INM",IF(N41="VF",M41*H41,""),
            IF(B41="PE",4.6,
            IF(B41="AL",7,"")))),
   IF('Dados da OS'!$D$8=Parâmetros!$B$6,
      IF(B41="ALI",35,IF(B41="AIE",15,"")),""))
    )
)</f>
        <v>6</v>
      </c>
      <c r="Q41" s="60">
        <f t="shared" si="5"/>
        <v>3</v>
      </c>
      <c r="R41" s="61"/>
      <c r="S41" s="62" t="s">
        <v>331</v>
      </c>
      <c r="T41" s="80" t="s">
        <v>21</v>
      </c>
      <c r="U41" s="215" t="s">
        <v>214</v>
      </c>
      <c r="V41" s="99" t="s">
        <v>121</v>
      </c>
      <c r="W41" s="55" t="s">
        <v>56</v>
      </c>
      <c r="X41" s="55">
        <v>26</v>
      </c>
      <c r="Y41" s="56" t="s">
        <v>284</v>
      </c>
      <c r="Z41" s="55">
        <v>3</v>
      </c>
      <c r="AA41" s="56" t="s">
        <v>285</v>
      </c>
      <c r="AB41" s="55"/>
      <c r="AC41" s="57" t="str">
        <f t="shared" si="6"/>
        <v>EEH</v>
      </c>
      <c r="AD41" s="57" t="str">
        <f t="shared" si="7"/>
        <v>EEA50H3</v>
      </c>
      <c r="AE41" s="57" t="str">
        <f xml:space="preserve">
IF(OR('Dados da OS'!$D$8=Parâmetros!$B$3,'Dados da OS'!$D$8=Parâmetros!$B$4),
  IF(OR(ISBLANK(X41),ISBLANK(Z41)),
     IF(OR(V41="ALI",V41="AIE"),"L",IF(ISBLANK(V41),"","A")),
     IF(V41="EE",IF(Z41&gt;=3,IF(X41&gt;=5,"H","A"),
     IF(Z41&gt;=2,IF(X41&gt;=16,"H",IF(X41&lt;=4,"L","A")),IF(X41&lt;=15,"L","A"))),
     IF(OR(V41="SE",V41="CE"),IF(Z41&gt;=4,IF(X41&gt;=6,"H","A"),IF(Z41&gt;=2,IF(X41&gt;=20,"H",IF(X41&lt;=5,"L","A")),IF(X41&lt;=19,"L","A"))),
     IF(OR(V41="ALI",V41="AIE"),IF(Z41&gt;=6,IF(X41&gt;=20,"H","A"),IF(Z41&gt;=2,IF(X41&gt;=51,"H",IF(X41&lt;=19,"L","A")),IF(X41&lt;=50,"L","A"))))))),
IF('Dados da OS'!$D$8=Parâmetros!$B$6,"Indicativa",
IF('Dados da OS'!$D$8=Parâmetros!$B$5,"PFS","")))</f>
        <v>H</v>
      </c>
      <c r="AF41" s="57">
        <f>IFERROR(VLOOKUP(W41,'Fatores de Impacto e INMs'!$A$3:$D$32,3,0),1)</f>
        <v>0.5</v>
      </c>
      <c r="AG41" s="57" t="str">
        <f>IFERROR(VLOOKUP(W41,'Fatores de Impacto e INMs'!$A$3:$E$32,5,0),1)</f>
        <v>VP</v>
      </c>
      <c r="AH41" s="82" t="str">
        <f xml:space="preserve">
IF(OR('Dados da OS'!$D$8="Selecione o tipo da contagem",ISBLANK('Dados da OS'!$D$8),V41="INM",V41="N/A",ISBLANK(V41),ISBLANK(W41),AG41="VF"),"-",
   IF('Dados da OS'!$D$8=Parâmetros!$B$3,
      IF(OR(ISBLANK(X41),ISBLANK(Z41)),"-",
         IF(AE41="L","Baixa",IF(AE41="A","Média",IF(AE41="H","Alta","-")))),
      IF('Dados da OS'!$D$8=Parâmetros!$B$4,
         IF(OR(V41="ALI",V41="AIE"),"Baixa",IF(OR(V41="EE",V41="SE",V41="CE"),"Média","-")),
         IF(OR('Dados da OS'!$D$8=Parâmetros!$B$5,'Dados da OS'!$D$8=Parâmetros!$B$6),"-"))))</f>
        <v>Alta</v>
      </c>
      <c r="AI41" s="83">
        <f xml:space="preserve">
IF(OR(ISBLANK(V41),ISBLANK(U41),ISBLANK(W41),V41="N/A",ISBLANK('Dados da OS'!$D$8)),"",
   IF(OR('Dados da OS'!$D$8=Parâmetros!$B$3,'Dados da OS'!$D$8=Parâmetros!$B$4),
      IF(OR(AND(V41="INM",AG41&lt;&gt;"VF"),AND(AG41="VF",V41&lt;&gt;"INM")),"",
        IF(AND(V41="INM",AG41="VF"),IF(ISBLANK(AB41),"",AF41*AB41),
        IF('Dados da OS'!$D$8=Parâmetros!$B$4,
           IF(OR(V41="CE",V41="EE"),4,IF(V41="SE",5,IF(V41="ALI",7,IF(V41="AIE",5,"")))),
        IF('Dados da OS'!$D$8=Parâmetros!$B$3,
           IF(OR(ISBLANK(X41),ISBLANK(Z41)),"",
              IF(V41="ALI",IF(AE41="L",7,IF(AE41="A",10,15)),
                 IF(V41="AIE",IF(AE41="L",5,IF(AE41="A",7,10)),
                    IF(V41="SE",IF(AE41="L",4,IF(AE41="A",5,7)),
                       IF(OR(V41="EE",V41="CE"),IF(AE41="L",3,IF(AE41="A",4,6)),""))))))))),
   IF('Dados da OS'!$D$8=Parâmetros!$B$5,
      IF(OR(AND(V41="INM",AG41&lt;&gt;"VF"),AND(AG41="VF",V41&lt;&gt;"INM")),"",
         IF(V41="INM",IF(AG41="VF",AF41*AB41,""),
            IF(V41="PE",4.6,
            IF(V41="AL",7,"")))),
   IF('Dados da OS'!$D$8=Parâmetros!$B$6,
      IF(V41="ALI",35,IF(V41="AIE",15,"")),""))
    )
)</f>
        <v>6</v>
      </c>
      <c r="AJ41" s="82">
        <f t="shared" si="8"/>
        <v>3</v>
      </c>
      <c r="AK41" s="84"/>
      <c r="AL41" s="85" t="s">
        <v>21</v>
      </c>
      <c r="AM41" s="86"/>
      <c r="AN41" s="85"/>
      <c r="AO41" s="87"/>
      <c r="AP41" s="85"/>
      <c r="AQ41" s="86"/>
      <c r="AR41" s="85"/>
    </row>
    <row r="42" spans="1:44" ht="15.75" customHeight="1">
      <c r="A42" s="54" t="s">
        <v>287</v>
      </c>
      <c r="B42" s="100"/>
      <c r="C42" s="55"/>
      <c r="D42" s="55"/>
      <c r="E42" s="56"/>
      <c r="F42" s="55"/>
      <c r="G42" s="56"/>
      <c r="H42" s="55"/>
      <c r="I42" s="64"/>
      <c r="J42" s="57" t="str">
        <f t="shared" si="9"/>
        <v/>
      </c>
      <c r="K42" s="57" t="str">
        <f t="shared" si="10"/>
        <v/>
      </c>
      <c r="L42" s="57" t="str">
        <f xml:space="preserve">
IF(OR('Dados da OS'!$D$8=Parâmetros!$B$3,'Dados da OS'!$D$8=Parâmetros!$B$4),
  IF(OR(ISBLANK(D42),ISBLANK(F42)),
     IF(OR(B42="ALI",B42="AIE"),"L",IF(ISBLANK(B42),"","A")),
     IF(B42="EE",IF(F42&gt;=3,IF(D42&gt;=5,"H","A"),
     IF(F42&gt;=2,IF(D42&gt;=16,"H",IF(D42&lt;=4,"L","A")),IF(D42&lt;=15,"L","A"))),
     IF(OR(B42="SE",B42="CE"),IF(F42&gt;=4,IF(D42&gt;=6,"H","A"),IF(F42&gt;=2,IF(D42&gt;=20,"H",IF(D42&lt;=5,"L","A")),IF(D42&lt;=19,"L","A"))),
     IF(OR(B42="ALI",B42="AIE"),IF(F42&gt;=6,IF(D42&gt;=20,"H","A"),IF(F42&gt;=2,IF(D42&gt;=51,"H",IF(D42&lt;=19,"L","A")),IF(D42&lt;=50,"L","A"))))))),
IF('Dados da OS'!$D$8=Parâmetros!$B$6,"Indicativa",
IF('Dados da OS'!$D$8=Parâmetros!$B$5,"PFS","")))</f>
        <v/>
      </c>
      <c r="M42" s="57">
        <f>IFERROR(VLOOKUP(C42,'Fatores de Impacto e INMs'!$A$3:$D$32,3,0),1)</f>
        <v>1</v>
      </c>
      <c r="N42" s="57">
        <f>IFERROR(VLOOKUP(C42,'Fatores de Impacto e INMs'!$A$3:$E$32,5,0),1)</f>
        <v>1</v>
      </c>
      <c r="O42" s="63" t="str">
        <f xml:space="preserve">
IF(OR('Dados da OS'!$D$8="Selecione o tipo da contagem",ISBLANK('Dados da OS'!$D$8),B42="INM",B42="N/A",ISBLANK(B42),ISBLANK(C42),N42="VF"),"-",
   IF('Dados da OS'!$D$8=Parâmetros!$B$3,
      IF(OR(ISBLANK(D42),ISBLANK(F42)),"-",
         IF(L42="L","Baixa",IF(L42="A","Média",IF(L42="H","Alta","-")))),
      IF('Dados da OS'!$D$8=Parâmetros!$B$4,
         IF(OR(B42="ALI",B42="AIE"),"Baixa",IF(OR(B42="EE",B42="SE",B42="CE"),"Média","-")),
         IF(OR('Dados da OS'!$D$8=Parâmetros!$B$5,'Dados da OS'!$D$8=Parâmetros!$B$6),"-"))))</f>
        <v>-</v>
      </c>
      <c r="P42" s="59" t="str">
        <f xml:space="preserve">
IF(OR(ISBLANK(B42),ISBLANK(C42),B42="N/A",ISBLANK('Dados da OS'!$D$8)),"",
   IF(OR('Dados da OS'!$D$8=Parâmetros!$B$3,'Dados da OS'!$D$8=Parâmetros!$B$4),
      IF(OR(AND(B42="INM",N42&lt;&gt;"VF"),AND(N42="VF",B42&lt;&gt;"INM")),"",
        IF(AND(B42="INM",N42="VF"),IF(ISBLANK(H42),"",M42*H42),
        IF('Dados da OS'!$D$8=Parâmetros!$B$4,
           IF(OR(B42="CE",B42="EE"),4,IF(B42="SE",5,IF(B42="ALI",7,IF(B42="AIE",5,"")))),
        IF('Dados da OS'!$D$8=Parâmetros!$B$3,
           IF(OR(ISBLANK(D42),ISBLANK(F42)),"",
              IF(B42="ALI",IF(L42="L",7,IF(L42="A",10,15)),
                 IF(B42="AIE",IF(L42="L",5,IF(L42="A",7,10)),
                    IF(B42="SE",IF(L42="L",4,IF(L42="A",5,7)),
                       IF(OR(B42="EE",B42="CE"),IF(L42="L",3,IF(L42="A",4,6)),""))))))))),
   IF('Dados da OS'!$D$8=Parâmetros!$B$5,
      IF(OR(AND(B42="INM",N42&lt;&gt;"VF"),AND(N42="VF",B42&lt;&gt;"INM")),"",
         IF(B42="INM",IF(N42="VF",M42*H42,""),
            IF(B42="PE",4.6,
            IF(B42="AL",7,"")))),
   IF('Dados da OS'!$D$8=Parâmetros!$B$6,
      IF(B42="ALI",35,IF(B42="AIE",15,"")),""))
    )
)</f>
        <v/>
      </c>
      <c r="Q42" s="60" t="str">
        <f t="shared" si="5"/>
        <v/>
      </c>
      <c r="R42" s="61"/>
      <c r="S42" s="62"/>
      <c r="T42" s="80" t="s">
        <v>21</v>
      </c>
      <c r="U42" s="215"/>
      <c r="V42" s="99"/>
      <c r="W42" s="55"/>
      <c r="X42" s="55"/>
      <c r="Y42" s="56"/>
      <c r="Z42" s="55"/>
      <c r="AA42" s="56"/>
      <c r="AB42" s="55"/>
      <c r="AC42" s="57" t="str">
        <f t="shared" si="6"/>
        <v/>
      </c>
      <c r="AD42" s="57" t="str">
        <f t="shared" si="7"/>
        <v/>
      </c>
      <c r="AE42" s="57" t="str">
        <f xml:space="preserve">
IF(OR('Dados da OS'!$D$8=Parâmetros!$B$3,'Dados da OS'!$D$8=Parâmetros!$B$4),
  IF(OR(ISBLANK(X42),ISBLANK(Z42)),
     IF(OR(V42="ALI",V42="AIE"),"L",IF(ISBLANK(V42),"","A")),
     IF(V42="EE",IF(Z42&gt;=3,IF(X42&gt;=5,"H","A"),
     IF(Z42&gt;=2,IF(X42&gt;=16,"H",IF(X42&lt;=4,"L","A")),IF(X42&lt;=15,"L","A"))),
     IF(OR(V42="SE",V42="CE"),IF(Z42&gt;=4,IF(X42&gt;=6,"H","A"),IF(Z42&gt;=2,IF(X42&gt;=20,"H",IF(X42&lt;=5,"L","A")),IF(X42&lt;=19,"L","A"))),
     IF(OR(V42="ALI",V42="AIE"),IF(Z42&gt;=6,IF(X42&gt;=20,"H","A"),IF(Z42&gt;=2,IF(X42&gt;=51,"H",IF(X42&lt;=19,"L","A")),IF(X42&lt;=50,"L","A"))))))),
IF('Dados da OS'!$D$8=Parâmetros!$B$6,"Indicativa",
IF('Dados da OS'!$D$8=Parâmetros!$B$5,"PFS","")))</f>
        <v/>
      </c>
      <c r="AF42" s="57">
        <f>IFERROR(VLOOKUP(W42,'Fatores de Impacto e INMs'!$A$3:$D$32,3,0),1)</f>
        <v>1</v>
      </c>
      <c r="AG42" s="57">
        <f>IFERROR(VLOOKUP(W42,'Fatores de Impacto e INMs'!$A$3:$E$32,5,0),1)</f>
        <v>1</v>
      </c>
      <c r="AH42" s="82" t="str">
        <f xml:space="preserve">
IF(OR('Dados da OS'!$D$8="Selecione o tipo da contagem",ISBLANK('Dados da OS'!$D$8),V42="INM",V42="N/A",ISBLANK(V42),ISBLANK(W42),AG42="VF"),"-",
   IF('Dados da OS'!$D$8=Parâmetros!$B$3,
      IF(OR(ISBLANK(X42),ISBLANK(Z42)),"-",
         IF(AE42="L","Baixa",IF(AE42="A","Média",IF(AE42="H","Alta","-")))),
      IF('Dados da OS'!$D$8=Parâmetros!$B$4,
         IF(OR(V42="ALI",V42="AIE"),"Baixa",IF(OR(V42="EE",V42="SE",V42="CE"),"Média","-")),
         IF(OR('Dados da OS'!$D$8=Parâmetros!$B$5,'Dados da OS'!$D$8=Parâmetros!$B$6),"-"))))</f>
        <v>-</v>
      </c>
      <c r="AI42" s="83" t="str">
        <f xml:space="preserve">
IF(OR(ISBLANK(V42),ISBLANK(U42),ISBLANK(W42),V42="N/A",ISBLANK('Dados da OS'!$D$8)),"",
   IF(OR('Dados da OS'!$D$8=Parâmetros!$B$3,'Dados da OS'!$D$8=Parâmetros!$B$4),
      IF(OR(AND(V42="INM",AG42&lt;&gt;"VF"),AND(AG42="VF",V42&lt;&gt;"INM")),"",
        IF(AND(V42="INM",AG42="VF"),IF(ISBLANK(AB42),"",AF42*AB42),
        IF('Dados da OS'!$D$8=Parâmetros!$B$4,
           IF(OR(V42="CE",V42="EE"),4,IF(V42="SE",5,IF(V42="ALI",7,IF(V42="AIE",5,"")))),
        IF('Dados da OS'!$D$8=Parâmetros!$B$3,
           IF(OR(ISBLANK(X42),ISBLANK(Z42)),"",
              IF(V42="ALI",IF(AE42="L",7,IF(AE42="A",10,15)),
                 IF(V42="AIE",IF(AE42="L",5,IF(AE42="A",7,10)),
                    IF(V42="SE",IF(AE42="L",4,IF(AE42="A",5,7)),
                       IF(OR(V42="EE",V42="CE"),IF(AE42="L",3,IF(AE42="A",4,6)),""))))))))),
   IF('Dados da OS'!$D$8=Parâmetros!$B$5,
      IF(OR(AND(V42="INM",AG42&lt;&gt;"VF"),AND(AG42="VF",V42&lt;&gt;"INM")),"",
         IF(V42="INM",IF(AG42="VF",AF42*AB42,""),
            IF(V42="PE",4.6,
            IF(V42="AL",7,"")))),
   IF('Dados da OS'!$D$8=Parâmetros!$B$6,
      IF(V42="ALI",35,IF(V42="AIE",15,"")),""))
    )
)</f>
        <v/>
      </c>
      <c r="AJ42" s="82" t="str">
        <f t="shared" si="8"/>
        <v/>
      </c>
      <c r="AK42" s="84"/>
      <c r="AL42" s="85" t="s">
        <v>21</v>
      </c>
      <c r="AM42" s="86"/>
      <c r="AN42" s="85"/>
      <c r="AO42" s="87"/>
      <c r="AP42" s="85"/>
      <c r="AQ42" s="86"/>
      <c r="AR42" s="85"/>
    </row>
    <row r="43" spans="1:44" ht="15.75" customHeight="1">
      <c r="A43" s="54" t="s">
        <v>288</v>
      </c>
      <c r="B43" s="100" t="s">
        <v>121</v>
      </c>
      <c r="C43" s="55" t="s">
        <v>56</v>
      </c>
      <c r="D43" s="55">
        <v>15</v>
      </c>
      <c r="E43" s="56" t="s">
        <v>289</v>
      </c>
      <c r="F43" s="55">
        <v>3</v>
      </c>
      <c r="G43" s="56" t="s">
        <v>290</v>
      </c>
      <c r="H43" s="55"/>
      <c r="I43" s="64"/>
      <c r="J43" s="57" t="str">
        <f t="shared" si="9"/>
        <v>EEH</v>
      </c>
      <c r="K43" s="57" t="str">
        <f t="shared" si="10"/>
        <v>EEA50H3</v>
      </c>
      <c r="L43" s="57" t="str">
        <f xml:space="preserve">
IF(OR('Dados da OS'!$D$8=Parâmetros!$B$3,'Dados da OS'!$D$8=Parâmetros!$B$4),
  IF(OR(ISBLANK(D43),ISBLANK(F43)),
     IF(OR(B43="ALI",B43="AIE"),"L",IF(ISBLANK(B43),"","A")),
     IF(B43="EE",IF(F43&gt;=3,IF(D43&gt;=5,"H","A"),
     IF(F43&gt;=2,IF(D43&gt;=16,"H",IF(D43&lt;=4,"L","A")),IF(D43&lt;=15,"L","A"))),
     IF(OR(B43="SE",B43="CE"),IF(F43&gt;=4,IF(D43&gt;=6,"H","A"),IF(F43&gt;=2,IF(D43&gt;=20,"H",IF(D43&lt;=5,"L","A")),IF(D43&lt;=19,"L","A"))),
     IF(OR(B43="ALI",B43="AIE"),IF(F43&gt;=6,IF(D43&gt;=20,"H","A"),IF(F43&gt;=2,IF(D43&gt;=51,"H",IF(D43&lt;=19,"L","A")),IF(D43&lt;=50,"L","A"))))))),
IF('Dados da OS'!$D$8=Parâmetros!$B$6,"Indicativa",
IF('Dados da OS'!$D$8=Parâmetros!$B$5,"PFS","")))</f>
        <v>H</v>
      </c>
      <c r="M43" s="57">
        <f>IFERROR(VLOOKUP(C43,'Fatores de Impacto e INMs'!$A$3:$D$32,3,0),1)</f>
        <v>0.5</v>
      </c>
      <c r="N43" s="57" t="str">
        <f>IFERROR(VLOOKUP(C43,'Fatores de Impacto e INMs'!$A$3:$E$32,5,0),1)</f>
        <v>VP</v>
      </c>
      <c r="O43" s="63" t="str">
        <f xml:space="preserve">
IF(OR('Dados da OS'!$D$8="Selecione o tipo da contagem",ISBLANK('Dados da OS'!$D$8),B43="INM",B43="N/A",ISBLANK(B43),ISBLANK(C43),N43="VF"),"-",
   IF('Dados da OS'!$D$8=Parâmetros!$B$3,
      IF(OR(ISBLANK(D43),ISBLANK(F43)),"-",
         IF(L43="L","Baixa",IF(L43="A","Média",IF(L43="H","Alta","-")))),
      IF('Dados da OS'!$D$8=Parâmetros!$B$4,
         IF(OR(B43="ALI",B43="AIE"),"Baixa",IF(OR(B43="EE",B43="SE",B43="CE"),"Média","-")),
         IF(OR('Dados da OS'!$D$8=Parâmetros!$B$5,'Dados da OS'!$D$8=Parâmetros!$B$6),"-"))))</f>
        <v>Alta</v>
      </c>
      <c r="P43" s="59">
        <f xml:space="preserve">
IF(OR(ISBLANK(B43),ISBLANK(C43),B43="N/A",ISBLANK('Dados da OS'!$D$8)),"",
   IF(OR('Dados da OS'!$D$8=Parâmetros!$B$3,'Dados da OS'!$D$8=Parâmetros!$B$4),
      IF(OR(AND(B43="INM",N43&lt;&gt;"VF"),AND(N43="VF",B43&lt;&gt;"INM")),"",
        IF(AND(B43="INM",N43="VF"),IF(ISBLANK(H43),"",M43*H43),
        IF('Dados da OS'!$D$8=Parâmetros!$B$4,
           IF(OR(B43="CE",B43="EE"),4,IF(B43="SE",5,IF(B43="ALI",7,IF(B43="AIE",5,"")))),
        IF('Dados da OS'!$D$8=Parâmetros!$B$3,
           IF(OR(ISBLANK(D43),ISBLANK(F43)),"",
              IF(B43="ALI",IF(L43="L",7,IF(L43="A",10,15)),
                 IF(B43="AIE",IF(L43="L",5,IF(L43="A",7,10)),
                    IF(B43="SE",IF(L43="L",4,IF(L43="A",5,7)),
                       IF(OR(B43="EE",B43="CE"),IF(L43="L",3,IF(L43="A",4,6)),""))))))))),
   IF('Dados da OS'!$D$8=Parâmetros!$B$5,
      IF(OR(AND(B43="INM",N43&lt;&gt;"VF"),AND(N43="VF",B43&lt;&gt;"INM")),"",
         IF(B43="INM",IF(N43="VF",M43*H43,""),
            IF(B43="PE",4.6,
            IF(B43="AL",7,"")))),
   IF('Dados da OS'!$D$8=Parâmetros!$B$6,
      IF(B43="ALI",35,IF(B43="AIE",15,"")),""))
    )
)</f>
        <v>6</v>
      </c>
      <c r="Q43" s="60">
        <f t="shared" si="5"/>
        <v>3</v>
      </c>
      <c r="R43" s="61"/>
      <c r="S43" s="62" t="s">
        <v>332</v>
      </c>
      <c r="T43" s="80" t="s">
        <v>21</v>
      </c>
      <c r="U43" s="215" t="s">
        <v>214</v>
      </c>
      <c r="V43" s="99" t="s">
        <v>121</v>
      </c>
      <c r="W43" s="55" t="s">
        <v>56</v>
      </c>
      <c r="X43" s="55">
        <v>15</v>
      </c>
      <c r="Y43" s="56" t="s">
        <v>289</v>
      </c>
      <c r="Z43" s="55">
        <v>3</v>
      </c>
      <c r="AA43" s="56" t="s">
        <v>290</v>
      </c>
      <c r="AB43" s="55"/>
      <c r="AC43" s="57" t="str">
        <f t="shared" si="6"/>
        <v>EEH</v>
      </c>
      <c r="AD43" s="57" t="str">
        <f t="shared" si="7"/>
        <v>EEA50H3</v>
      </c>
      <c r="AE43" s="57" t="str">
        <f xml:space="preserve">
IF(OR('Dados da OS'!$D$8=Parâmetros!$B$3,'Dados da OS'!$D$8=Parâmetros!$B$4),
  IF(OR(ISBLANK(X43),ISBLANK(Z43)),
     IF(OR(V43="ALI",V43="AIE"),"L",IF(ISBLANK(V43),"","A")),
     IF(V43="EE",IF(Z43&gt;=3,IF(X43&gt;=5,"H","A"),
     IF(Z43&gt;=2,IF(X43&gt;=16,"H",IF(X43&lt;=4,"L","A")),IF(X43&lt;=15,"L","A"))),
     IF(OR(V43="SE",V43="CE"),IF(Z43&gt;=4,IF(X43&gt;=6,"H","A"),IF(Z43&gt;=2,IF(X43&gt;=20,"H",IF(X43&lt;=5,"L","A")),IF(X43&lt;=19,"L","A"))),
     IF(OR(V43="ALI",V43="AIE"),IF(Z43&gt;=6,IF(X43&gt;=20,"H","A"),IF(Z43&gt;=2,IF(X43&gt;=51,"H",IF(X43&lt;=19,"L","A")),IF(X43&lt;=50,"L","A"))))))),
IF('Dados da OS'!$D$8=Parâmetros!$B$6,"Indicativa",
IF('Dados da OS'!$D$8=Parâmetros!$B$5,"PFS","")))</f>
        <v>H</v>
      </c>
      <c r="AF43" s="57">
        <f>IFERROR(VLOOKUP(W43,'Fatores de Impacto e INMs'!$A$3:$D$32,3,0),1)</f>
        <v>0.5</v>
      </c>
      <c r="AG43" s="57" t="str">
        <f>IFERROR(VLOOKUP(W43,'Fatores de Impacto e INMs'!$A$3:$E$32,5,0),1)</f>
        <v>VP</v>
      </c>
      <c r="AH43" s="82" t="str">
        <f xml:space="preserve">
IF(OR('Dados da OS'!$D$8="Selecione o tipo da contagem",ISBLANK('Dados da OS'!$D$8),V43="INM",V43="N/A",ISBLANK(V43),ISBLANK(W43),AG43="VF"),"-",
   IF('Dados da OS'!$D$8=Parâmetros!$B$3,
      IF(OR(ISBLANK(X43),ISBLANK(Z43)),"-",
         IF(AE43="L","Baixa",IF(AE43="A","Média",IF(AE43="H","Alta","-")))),
      IF('Dados da OS'!$D$8=Parâmetros!$B$4,
         IF(OR(V43="ALI",V43="AIE"),"Baixa",IF(OR(V43="EE",V43="SE",V43="CE"),"Média","-")),
         IF(OR('Dados da OS'!$D$8=Parâmetros!$B$5,'Dados da OS'!$D$8=Parâmetros!$B$6),"-"))))</f>
        <v>Alta</v>
      </c>
      <c r="AI43" s="83">
        <f xml:space="preserve">
IF(OR(ISBLANK(V43),ISBLANK(U43),ISBLANK(W43),V43="N/A",ISBLANK('Dados da OS'!$D$8)),"",
   IF(OR('Dados da OS'!$D$8=Parâmetros!$B$3,'Dados da OS'!$D$8=Parâmetros!$B$4),
      IF(OR(AND(V43="INM",AG43&lt;&gt;"VF"),AND(AG43="VF",V43&lt;&gt;"INM")),"",
        IF(AND(V43="INM",AG43="VF"),IF(ISBLANK(AB43),"",AF43*AB43),
        IF('Dados da OS'!$D$8=Parâmetros!$B$4,
           IF(OR(V43="CE",V43="EE"),4,IF(V43="SE",5,IF(V43="ALI",7,IF(V43="AIE",5,"")))),
        IF('Dados da OS'!$D$8=Parâmetros!$B$3,
           IF(OR(ISBLANK(X43),ISBLANK(Z43)),"",
              IF(V43="ALI",IF(AE43="L",7,IF(AE43="A",10,15)),
                 IF(V43="AIE",IF(AE43="L",5,IF(AE43="A",7,10)),
                    IF(V43="SE",IF(AE43="L",4,IF(AE43="A",5,7)),
                       IF(OR(V43="EE",V43="CE"),IF(AE43="L",3,IF(AE43="A",4,6)),""))))))))),
   IF('Dados da OS'!$D$8=Parâmetros!$B$5,
      IF(OR(AND(V43="INM",AG43&lt;&gt;"VF"),AND(AG43="VF",V43&lt;&gt;"INM")),"",
         IF(V43="INM",IF(AG43="VF",AF43*AB43,""),
            IF(V43="PE",4.6,
            IF(V43="AL",7,"")))),
   IF('Dados da OS'!$D$8=Parâmetros!$B$6,
      IF(V43="ALI",35,IF(V43="AIE",15,"")),""))
    )
)</f>
        <v>6</v>
      </c>
      <c r="AJ43" s="82">
        <f t="shared" si="8"/>
        <v>3</v>
      </c>
      <c r="AK43" s="84"/>
      <c r="AL43" s="85" t="s">
        <v>21</v>
      </c>
      <c r="AM43" s="86"/>
      <c r="AN43" s="85"/>
      <c r="AO43" s="87"/>
      <c r="AP43" s="85"/>
      <c r="AQ43" s="86"/>
      <c r="AR43" s="85"/>
    </row>
    <row r="44" spans="1:44" ht="15.75" customHeight="1">
      <c r="A44" s="54" t="s">
        <v>291</v>
      </c>
      <c r="B44" s="100" t="s">
        <v>121</v>
      </c>
      <c r="C44" s="55" t="s">
        <v>56</v>
      </c>
      <c r="D44" s="55">
        <v>14</v>
      </c>
      <c r="E44" s="56" t="s">
        <v>292</v>
      </c>
      <c r="F44" s="55">
        <v>3</v>
      </c>
      <c r="G44" s="56" t="s">
        <v>290</v>
      </c>
      <c r="H44" s="55"/>
      <c r="I44" s="64"/>
      <c r="J44" s="57" t="str">
        <f t="shared" si="9"/>
        <v>EEH</v>
      </c>
      <c r="K44" s="57" t="str">
        <f t="shared" si="10"/>
        <v>EEA50H3</v>
      </c>
      <c r="L44" s="57" t="str">
        <f xml:space="preserve">
IF(OR('Dados da OS'!$D$8=Parâmetros!$B$3,'Dados da OS'!$D$8=Parâmetros!$B$4),
  IF(OR(ISBLANK(D44),ISBLANK(F44)),
     IF(OR(B44="ALI",B44="AIE"),"L",IF(ISBLANK(B44),"","A")),
     IF(B44="EE",IF(F44&gt;=3,IF(D44&gt;=5,"H","A"),
     IF(F44&gt;=2,IF(D44&gt;=16,"H",IF(D44&lt;=4,"L","A")),IF(D44&lt;=15,"L","A"))),
     IF(OR(B44="SE",B44="CE"),IF(F44&gt;=4,IF(D44&gt;=6,"H","A"),IF(F44&gt;=2,IF(D44&gt;=20,"H",IF(D44&lt;=5,"L","A")),IF(D44&lt;=19,"L","A"))),
     IF(OR(B44="ALI",B44="AIE"),IF(F44&gt;=6,IF(D44&gt;=20,"H","A"),IF(F44&gt;=2,IF(D44&gt;=51,"H",IF(D44&lt;=19,"L","A")),IF(D44&lt;=50,"L","A"))))))),
IF('Dados da OS'!$D$8=Parâmetros!$B$6,"Indicativa",
IF('Dados da OS'!$D$8=Parâmetros!$B$5,"PFS","")))</f>
        <v>H</v>
      </c>
      <c r="M44" s="57">
        <f>IFERROR(VLOOKUP(C44,'Fatores de Impacto e INMs'!$A$3:$D$32,3,0),1)</f>
        <v>0.5</v>
      </c>
      <c r="N44" s="57" t="str">
        <f>IFERROR(VLOOKUP(C44,'Fatores de Impacto e INMs'!$A$3:$E$32,5,0),1)</f>
        <v>VP</v>
      </c>
      <c r="O44" s="63" t="str">
        <f xml:space="preserve">
IF(OR('Dados da OS'!$D$8="Selecione o tipo da contagem",ISBLANK('Dados da OS'!$D$8),B44="INM",B44="N/A",ISBLANK(B44),ISBLANK(C44),N44="VF"),"-",
   IF('Dados da OS'!$D$8=Parâmetros!$B$3,
      IF(OR(ISBLANK(D44),ISBLANK(F44)),"-",
         IF(L44="L","Baixa",IF(L44="A","Média",IF(L44="H","Alta","-")))),
      IF('Dados da OS'!$D$8=Parâmetros!$B$4,
         IF(OR(B44="ALI",B44="AIE"),"Baixa",IF(OR(B44="EE",B44="SE",B44="CE"),"Média","-")),
         IF(OR('Dados da OS'!$D$8=Parâmetros!$B$5,'Dados da OS'!$D$8=Parâmetros!$B$6),"-"))))</f>
        <v>Alta</v>
      </c>
      <c r="P44" s="59">
        <f xml:space="preserve">
IF(OR(ISBLANK(B44),ISBLANK(C44),B44="N/A",ISBLANK('Dados da OS'!$D$8)),"",
   IF(OR('Dados da OS'!$D$8=Parâmetros!$B$3,'Dados da OS'!$D$8=Parâmetros!$B$4),
      IF(OR(AND(B44="INM",N44&lt;&gt;"VF"),AND(N44="VF",B44&lt;&gt;"INM")),"",
        IF(AND(B44="INM",N44="VF"),IF(ISBLANK(H44),"",M44*H44),
        IF('Dados da OS'!$D$8=Parâmetros!$B$4,
           IF(OR(B44="CE",B44="EE"),4,IF(B44="SE",5,IF(B44="ALI",7,IF(B44="AIE",5,"")))),
        IF('Dados da OS'!$D$8=Parâmetros!$B$3,
           IF(OR(ISBLANK(D44),ISBLANK(F44)),"",
              IF(B44="ALI",IF(L44="L",7,IF(L44="A",10,15)),
                 IF(B44="AIE",IF(L44="L",5,IF(L44="A",7,10)),
                    IF(B44="SE",IF(L44="L",4,IF(L44="A",5,7)),
                       IF(OR(B44="EE",B44="CE"),IF(L44="L",3,IF(L44="A",4,6)),""))))))))),
   IF('Dados da OS'!$D$8=Parâmetros!$B$5,
      IF(OR(AND(B44="INM",N44&lt;&gt;"VF"),AND(N44="VF",B44&lt;&gt;"INM")),"",
         IF(B44="INM",IF(N44="VF",M44*H44,""),
            IF(B44="PE",4.6,
            IF(B44="AL",7,"")))),
   IF('Dados da OS'!$D$8=Parâmetros!$B$6,
      IF(B44="ALI",35,IF(B44="AIE",15,"")),""))
    )
)</f>
        <v>6</v>
      </c>
      <c r="Q44" s="60">
        <f t="shared" si="5"/>
        <v>3</v>
      </c>
      <c r="R44" s="61"/>
      <c r="S44" s="62" t="s">
        <v>332</v>
      </c>
      <c r="T44" s="80" t="s">
        <v>21</v>
      </c>
      <c r="U44" s="215" t="s">
        <v>214</v>
      </c>
      <c r="V44" s="99" t="s">
        <v>121</v>
      </c>
      <c r="W44" s="55" t="s">
        <v>56</v>
      </c>
      <c r="X44" s="55">
        <v>14</v>
      </c>
      <c r="Y44" s="56" t="s">
        <v>292</v>
      </c>
      <c r="Z44" s="55">
        <v>3</v>
      </c>
      <c r="AA44" s="56" t="s">
        <v>290</v>
      </c>
      <c r="AB44" s="55"/>
      <c r="AC44" s="57" t="str">
        <f t="shared" si="6"/>
        <v>EEH</v>
      </c>
      <c r="AD44" s="57" t="str">
        <f t="shared" si="7"/>
        <v>EEA50H3</v>
      </c>
      <c r="AE44" s="57" t="str">
        <f xml:space="preserve">
IF(OR('Dados da OS'!$D$8=Parâmetros!$B$3,'Dados da OS'!$D$8=Parâmetros!$B$4),
  IF(OR(ISBLANK(X44),ISBLANK(Z44)),
     IF(OR(V44="ALI",V44="AIE"),"L",IF(ISBLANK(V44),"","A")),
     IF(V44="EE",IF(Z44&gt;=3,IF(X44&gt;=5,"H","A"),
     IF(Z44&gt;=2,IF(X44&gt;=16,"H",IF(X44&lt;=4,"L","A")),IF(X44&lt;=15,"L","A"))),
     IF(OR(V44="SE",V44="CE"),IF(Z44&gt;=4,IF(X44&gt;=6,"H","A"),IF(Z44&gt;=2,IF(X44&gt;=20,"H",IF(X44&lt;=5,"L","A")),IF(X44&lt;=19,"L","A"))),
     IF(OR(V44="ALI",V44="AIE"),IF(Z44&gt;=6,IF(X44&gt;=20,"H","A"),IF(Z44&gt;=2,IF(X44&gt;=51,"H",IF(X44&lt;=19,"L","A")),IF(X44&lt;=50,"L","A"))))))),
IF('Dados da OS'!$D$8=Parâmetros!$B$6,"Indicativa",
IF('Dados da OS'!$D$8=Parâmetros!$B$5,"PFS","")))</f>
        <v>H</v>
      </c>
      <c r="AF44" s="57">
        <f>IFERROR(VLOOKUP(W44,'Fatores de Impacto e INMs'!$A$3:$D$32,3,0),1)</f>
        <v>0.5</v>
      </c>
      <c r="AG44" s="57" t="str">
        <f>IFERROR(VLOOKUP(W44,'Fatores de Impacto e INMs'!$A$3:$E$32,5,0),1)</f>
        <v>VP</v>
      </c>
      <c r="AH44" s="82" t="str">
        <f xml:space="preserve">
IF(OR('Dados da OS'!$D$8="Selecione o tipo da contagem",ISBLANK('Dados da OS'!$D$8),V44="INM",V44="N/A",ISBLANK(V44),ISBLANK(W44),AG44="VF"),"-",
   IF('Dados da OS'!$D$8=Parâmetros!$B$3,
      IF(OR(ISBLANK(X44),ISBLANK(Z44)),"-",
         IF(AE44="L","Baixa",IF(AE44="A","Média",IF(AE44="H","Alta","-")))),
      IF('Dados da OS'!$D$8=Parâmetros!$B$4,
         IF(OR(V44="ALI",V44="AIE"),"Baixa",IF(OR(V44="EE",V44="SE",V44="CE"),"Média","-")),
         IF(OR('Dados da OS'!$D$8=Parâmetros!$B$5,'Dados da OS'!$D$8=Parâmetros!$B$6),"-"))))</f>
        <v>Alta</v>
      </c>
      <c r="AI44" s="83">
        <f xml:space="preserve">
IF(OR(ISBLANK(V44),ISBLANK(U44),ISBLANK(W44),V44="N/A",ISBLANK('Dados da OS'!$D$8)),"",
   IF(OR('Dados da OS'!$D$8=Parâmetros!$B$3,'Dados da OS'!$D$8=Parâmetros!$B$4),
      IF(OR(AND(V44="INM",AG44&lt;&gt;"VF"),AND(AG44="VF",V44&lt;&gt;"INM")),"",
        IF(AND(V44="INM",AG44="VF"),IF(ISBLANK(AB44),"",AF44*AB44),
        IF('Dados da OS'!$D$8=Parâmetros!$B$4,
           IF(OR(V44="CE",V44="EE"),4,IF(V44="SE",5,IF(V44="ALI",7,IF(V44="AIE",5,"")))),
        IF('Dados da OS'!$D$8=Parâmetros!$B$3,
           IF(OR(ISBLANK(X44),ISBLANK(Z44)),"",
              IF(V44="ALI",IF(AE44="L",7,IF(AE44="A",10,15)),
                 IF(V44="AIE",IF(AE44="L",5,IF(AE44="A",7,10)),
                    IF(V44="SE",IF(AE44="L",4,IF(AE44="A",5,7)),
                       IF(OR(V44="EE",V44="CE"),IF(AE44="L",3,IF(AE44="A",4,6)),""))))))))),
   IF('Dados da OS'!$D$8=Parâmetros!$B$5,
      IF(OR(AND(V44="INM",AG44&lt;&gt;"VF"),AND(AG44="VF",V44&lt;&gt;"INM")),"",
         IF(V44="INM",IF(AG44="VF",AF44*AB44,""),
            IF(V44="PE",4.6,
            IF(V44="AL",7,"")))),
   IF('Dados da OS'!$D$8=Parâmetros!$B$6,
      IF(V44="ALI",35,IF(V44="AIE",15,"")),""))
    )
)</f>
        <v>6</v>
      </c>
      <c r="AJ44" s="82">
        <f t="shared" si="8"/>
        <v>3</v>
      </c>
      <c r="AK44" s="84"/>
      <c r="AL44" s="85" t="s">
        <v>21</v>
      </c>
      <c r="AM44" s="86"/>
      <c r="AN44" s="85"/>
      <c r="AO44" s="87"/>
      <c r="AP44" s="85"/>
      <c r="AQ44" s="86"/>
      <c r="AR44" s="85"/>
    </row>
    <row r="45" spans="1:44" ht="15.75" customHeight="1">
      <c r="A45" s="54" t="s">
        <v>293</v>
      </c>
      <c r="B45" s="100"/>
      <c r="C45" s="55"/>
      <c r="D45" s="55"/>
      <c r="E45" s="56"/>
      <c r="F45" s="55"/>
      <c r="G45" s="56"/>
      <c r="H45" s="55"/>
      <c r="I45" s="64"/>
      <c r="J45" s="57" t="str">
        <f t="shared" si="9"/>
        <v/>
      </c>
      <c r="K45" s="57" t="str">
        <f t="shared" si="10"/>
        <v/>
      </c>
      <c r="L45" s="57" t="str">
        <f xml:space="preserve">
IF(OR('Dados da OS'!$D$8=Parâmetros!$B$3,'Dados da OS'!$D$8=Parâmetros!$B$4),
  IF(OR(ISBLANK(D45),ISBLANK(F45)),
     IF(OR(B45="ALI",B45="AIE"),"L",IF(ISBLANK(B45),"","A")),
     IF(B45="EE",IF(F45&gt;=3,IF(D45&gt;=5,"H","A"),
     IF(F45&gt;=2,IF(D45&gt;=16,"H",IF(D45&lt;=4,"L","A")),IF(D45&lt;=15,"L","A"))),
     IF(OR(B45="SE",B45="CE"),IF(F45&gt;=4,IF(D45&gt;=6,"H","A"),IF(F45&gt;=2,IF(D45&gt;=20,"H",IF(D45&lt;=5,"L","A")),IF(D45&lt;=19,"L","A"))),
     IF(OR(B45="ALI",B45="AIE"),IF(F45&gt;=6,IF(D45&gt;=20,"H","A"),IF(F45&gt;=2,IF(D45&gt;=51,"H",IF(D45&lt;=19,"L","A")),IF(D45&lt;=50,"L","A"))))))),
IF('Dados da OS'!$D$8=Parâmetros!$B$6,"Indicativa",
IF('Dados da OS'!$D$8=Parâmetros!$B$5,"PFS","")))</f>
        <v/>
      </c>
      <c r="M45" s="57">
        <f>IFERROR(VLOOKUP(C45,'Fatores de Impacto e INMs'!$A$3:$D$32,3,0),1)</f>
        <v>1</v>
      </c>
      <c r="N45" s="57">
        <f>IFERROR(VLOOKUP(C45,'Fatores de Impacto e INMs'!$A$3:$E$32,5,0),1)</f>
        <v>1</v>
      </c>
      <c r="O45" s="63" t="str">
        <f xml:space="preserve">
IF(OR('Dados da OS'!$D$8="Selecione o tipo da contagem",ISBLANK('Dados da OS'!$D$8),B45="INM",B45="N/A",ISBLANK(B45),ISBLANK(C45),N45="VF"),"-",
   IF('Dados da OS'!$D$8=Parâmetros!$B$3,
      IF(OR(ISBLANK(D45),ISBLANK(F45)),"-",
         IF(L45="L","Baixa",IF(L45="A","Média",IF(L45="H","Alta","-")))),
      IF('Dados da OS'!$D$8=Parâmetros!$B$4,
         IF(OR(B45="ALI",B45="AIE"),"Baixa",IF(OR(B45="EE",B45="SE",B45="CE"),"Média","-")),
         IF(OR('Dados da OS'!$D$8=Parâmetros!$B$5,'Dados da OS'!$D$8=Parâmetros!$B$6),"-"))))</f>
        <v>-</v>
      </c>
      <c r="P45" s="59" t="str">
        <f xml:space="preserve">
IF(OR(ISBLANK(B45),ISBLANK(C45),B45="N/A",ISBLANK('Dados da OS'!$D$8)),"",
   IF(OR('Dados da OS'!$D$8=Parâmetros!$B$3,'Dados da OS'!$D$8=Parâmetros!$B$4),
      IF(OR(AND(B45="INM",N45&lt;&gt;"VF"),AND(N45="VF",B45&lt;&gt;"INM")),"",
        IF(AND(B45="INM",N45="VF"),IF(ISBLANK(H45),"",M45*H45),
        IF('Dados da OS'!$D$8=Parâmetros!$B$4,
           IF(OR(B45="CE",B45="EE"),4,IF(B45="SE",5,IF(B45="ALI",7,IF(B45="AIE",5,"")))),
        IF('Dados da OS'!$D$8=Parâmetros!$B$3,
           IF(OR(ISBLANK(D45),ISBLANK(F45)),"",
              IF(B45="ALI",IF(L45="L",7,IF(L45="A",10,15)),
                 IF(B45="AIE",IF(L45="L",5,IF(L45="A",7,10)),
                    IF(B45="SE",IF(L45="L",4,IF(L45="A",5,7)),
                       IF(OR(B45="EE",B45="CE"),IF(L45="L",3,IF(L45="A",4,6)),""))))))))),
   IF('Dados da OS'!$D$8=Parâmetros!$B$5,
      IF(OR(AND(B45="INM",N45&lt;&gt;"VF"),AND(N45="VF",B45&lt;&gt;"INM")),"",
         IF(B45="INM",IF(N45="VF",M45*H45,""),
            IF(B45="PE",4.6,
            IF(B45="AL",7,"")))),
   IF('Dados da OS'!$D$8=Parâmetros!$B$6,
      IF(B45="ALI",35,IF(B45="AIE",15,"")),""))
    )
)</f>
        <v/>
      </c>
      <c r="Q45" s="60" t="str">
        <f t="shared" si="5"/>
        <v/>
      </c>
      <c r="R45" s="61"/>
      <c r="S45" s="62"/>
      <c r="T45" s="80" t="s">
        <v>21</v>
      </c>
      <c r="U45" s="215"/>
      <c r="V45" s="99"/>
      <c r="W45" s="55"/>
      <c r="X45" s="55"/>
      <c r="Y45" s="56"/>
      <c r="Z45" s="55"/>
      <c r="AA45" s="56"/>
      <c r="AB45" s="55"/>
      <c r="AC45" s="57" t="str">
        <f t="shared" si="6"/>
        <v/>
      </c>
      <c r="AD45" s="57" t="str">
        <f t="shared" si="7"/>
        <v/>
      </c>
      <c r="AE45" s="57" t="str">
        <f xml:space="preserve">
IF(OR('Dados da OS'!$D$8=Parâmetros!$B$3,'Dados da OS'!$D$8=Parâmetros!$B$4),
  IF(OR(ISBLANK(X45),ISBLANK(Z45)),
     IF(OR(V45="ALI",V45="AIE"),"L",IF(ISBLANK(V45),"","A")),
     IF(V45="EE",IF(Z45&gt;=3,IF(X45&gt;=5,"H","A"),
     IF(Z45&gt;=2,IF(X45&gt;=16,"H",IF(X45&lt;=4,"L","A")),IF(X45&lt;=15,"L","A"))),
     IF(OR(V45="SE",V45="CE"),IF(Z45&gt;=4,IF(X45&gt;=6,"H","A"),IF(Z45&gt;=2,IF(X45&gt;=20,"H",IF(X45&lt;=5,"L","A")),IF(X45&lt;=19,"L","A"))),
     IF(OR(V45="ALI",V45="AIE"),IF(Z45&gt;=6,IF(X45&gt;=20,"H","A"),IF(Z45&gt;=2,IF(X45&gt;=51,"H",IF(X45&lt;=19,"L","A")),IF(X45&lt;=50,"L","A"))))))),
IF('Dados da OS'!$D$8=Parâmetros!$B$6,"Indicativa",
IF('Dados da OS'!$D$8=Parâmetros!$B$5,"PFS","")))</f>
        <v/>
      </c>
      <c r="AF45" s="57">
        <f>IFERROR(VLOOKUP(W45,'Fatores de Impacto e INMs'!$A$3:$D$32,3,0),1)</f>
        <v>1</v>
      </c>
      <c r="AG45" s="57">
        <f>IFERROR(VLOOKUP(W45,'Fatores de Impacto e INMs'!$A$3:$E$32,5,0),1)</f>
        <v>1</v>
      </c>
      <c r="AH45" s="82" t="str">
        <f xml:space="preserve">
IF(OR('Dados da OS'!$D$8="Selecione o tipo da contagem",ISBLANK('Dados da OS'!$D$8),V45="INM",V45="N/A",ISBLANK(V45),ISBLANK(W45),AG45="VF"),"-",
   IF('Dados da OS'!$D$8=Parâmetros!$B$3,
      IF(OR(ISBLANK(X45),ISBLANK(Z45)),"-",
         IF(AE45="L","Baixa",IF(AE45="A","Média",IF(AE45="H","Alta","-")))),
      IF('Dados da OS'!$D$8=Parâmetros!$B$4,
         IF(OR(V45="ALI",V45="AIE"),"Baixa",IF(OR(V45="EE",V45="SE",V45="CE"),"Média","-")),
         IF(OR('Dados da OS'!$D$8=Parâmetros!$B$5,'Dados da OS'!$D$8=Parâmetros!$B$6),"-"))))</f>
        <v>-</v>
      </c>
      <c r="AI45" s="83" t="str">
        <f xml:space="preserve">
IF(OR(ISBLANK(V45),ISBLANK(U45),ISBLANK(W45),V45="N/A",ISBLANK('Dados da OS'!$D$8)),"",
   IF(OR('Dados da OS'!$D$8=Parâmetros!$B$3,'Dados da OS'!$D$8=Parâmetros!$B$4),
      IF(OR(AND(V45="INM",AG45&lt;&gt;"VF"),AND(AG45="VF",V45&lt;&gt;"INM")),"",
        IF(AND(V45="INM",AG45="VF"),IF(ISBLANK(AB45),"",AF45*AB45),
        IF('Dados da OS'!$D$8=Parâmetros!$B$4,
           IF(OR(V45="CE",V45="EE"),4,IF(V45="SE",5,IF(V45="ALI",7,IF(V45="AIE",5,"")))),
        IF('Dados da OS'!$D$8=Parâmetros!$B$3,
           IF(OR(ISBLANK(X45),ISBLANK(Z45)),"",
              IF(V45="ALI",IF(AE45="L",7,IF(AE45="A",10,15)),
                 IF(V45="AIE",IF(AE45="L",5,IF(AE45="A",7,10)),
                    IF(V45="SE",IF(AE45="L",4,IF(AE45="A",5,7)),
                       IF(OR(V45="EE",V45="CE"),IF(AE45="L",3,IF(AE45="A",4,6)),""))))))))),
   IF('Dados da OS'!$D$8=Parâmetros!$B$5,
      IF(OR(AND(V45="INM",AG45&lt;&gt;"VF"),AND(AG45="VF",V45&lt;&gt;"INM")),"",
         IF(V45="INM",IF(AG45="VF",AF45*AB45,""),
            IF(V45="PE",4.6,
            IF(V45="AL",7,"")))),
   IF('Dados da OS'!$D$8=Parâmetros!$B$6,
      IF(V45="ALI",35,IF(V45="AIE",15,"")),""))
    )
)</f>
        <v/>
      </c>
      <c r="AJ45" s="82" t="str">
        <f t="shared" si="8"/>
        <v/>
      </c>
      <c r="AK45" s="84"/>
      <c r="AL45" s="85" t="s">
        <v>21</v>
      </c>
      <c r="AM45" s="86"/>
      <c r="AN45" s="85"/>
      <c r="AO45" s="87"/>
      <c r="AP45" s="85"/>
      <c r="AQ45" s="86"/>
      <c r="AR45" s="85"/>
    </row>
    <row r="46" spans="1:44" ht="15.75" customHeight="1">
      <c r="A46" s="54" t="s">
        <v>294</v>
      </c>
      <c r="B46" s="100" t="s">
        <v>121</v>
      </c>
      <c r="C46" s="55" t="s">
        <v>56</v>
      </c>
      <c r="D46" s="55">
        <v>9</v>
      </c>
      <c r="E46" s="56" t="s">
        <v>295</v>
      </c>
      <c r="F46" s="55">
        <v>2</v>
      </c>
      <c r="G46" s="56" t="s">
        <v>296</v>
      </c>
      <c r="H46" s="55"/>
      <c r="I46" s="64"/>
      <c r="J46" s="57" t="str">
        <f t="shared" si="9"/>
        <v>EEA</v>
      </c>
      <c r="K46" s="57" t="str">
        <f t="shared" si="10"/>
        <v>EEA50A2</v>
      </c>
      <c r="L46" s="57" t="str">
        <f xml:space="preserve">
IF(OR('Dados da OS'!$D$8=Parâmetros!$B$3,'Dados da OS'!$D$8=Parâmetros!$B$4),
  IF(OR(ISBLANK(D46),ISBLANK(F46)),
     IF(OR(B46="ALI",B46="AIE"),"L",IF(ISBLANK(B46),"","A")),
     IF(B46="EE",IF(F46&gt;=3,IF(D46&gt;=5,"H","A"),
     IF(F46&gt;=2,IF(D46&gt;=16,"H",IF(D46&lt;=4,"L","A")),IF(D46&lt;=15,"L","A"))),
     IF(OR(B46="SE",B46="CE"),IF(F46&gt;=4,IF(D46&gt;=6,"H","A"),IF(F46&gt;=2,IF(D46&gt;=20,"H",IF(D46&lt;=5,"L","A")),IF(D46&lt;=19,"L","A"))),
     IF(OR(B46="ALI",B46="AIE"),IF(F46&gt;=6,IF(D46&gt;=20,"H","A"),IF(F46&gt;=2,IF(D46&gt;=51,"H",IF(D46&lt;=19,"L","A")),IF(D46&lt;=50,"L","A"))))))),
IF('Dados da OS'!$D$8=Parâmetros!$B$6,"Indicativa",
IF('Dados da OS'!$D$8=Parâmetros!$B$5,"PFS","")))</f>
        <v>A</v>
      </c>
      <c r="M46" s="57">
        <f>IFERROR(VLOOKUP(C46,'Fatores de Impacto e INMs'!$A$3:$D$32,3,0),1)</f>
        <v>0.5</v>
      </c>
      <c r="N46" s="57" t="str">
        <f>IFERROR(VLOOKUP(C46,'Fatores de Impacto e INMs'!$A$3:$E$32,5,0),1)</f>
        <v>VP</v>
      </c>
      <c r="O46" s="63" t="str">
        <f xml:space="preserve">
IF(OR('Dados da OS'!$D$8="Selecione o tipo da contagem",ISBLANK('Dados da OS'!$D$8),B46="INM",B46="N/A",ISBLANK(B46),ISBLANK(C46),N46="VF"),"-",
   IF('Dados da OS'!$D$8=Parâmetros!$B$3,
      IF(OR(ISBLANK(D46),ISBLANK(F46)),"-",
         IF(L46="L","Baixa",IF(L46="A","Média",IF(L46="H","Alta","-")))),
      IF('Dados da OS'!$D$8=Parâmetros!$B$4,
         IF(OR(B46="ALI",B46="AIE"),"Baixa",IF(OR(B46="EE",B46="SE",B46="CE"),"Média","-")),
         IF(OR('Dados da OS'!$D$8=Parâmetros!$B$5,'Dados da OS'!$D$8=Parâmetros!$B$6),"-"))))</f>
        <v>Média</v>
      </c>
      <c r="P46" s="59">
        <f xml:space="preserve">
IF(OR(ISBLANK(B46),ISBLANK(C46),B46="N/A",ISBLANK('Dados da OS'!$D$8)),"",
   IF(OR('Dados da OS'!$D$8=Parâmetros!$B$3,'Dados da OS'!$D$8=Parâmetros!$B$4),
      IF(OR(AND(B46="INM",N46&lt;&gt;"VF"),AND(N46="VF",B46&lt;&gt;"INM")),"",
        IF(AND(B46="INM",N46="VF"),IF(ISBLANK(H46),"",M46*H46),
        IF('Dados da OS'!$D$8=Parâmetros!$B$4,
           IF(OR(B46="CE",B46="EE"),4,IF(B46="SE",5,IF(B46="ALI",7,IF(B46="AIE",5,"")))),
        IF('Dados da OS'!$D$8=Parâmetros!$B$3,
           IF(OR(ISBLANK(D46),ISBLANK(F46)),"",
              IF(B46="ALI",IF(L46="L",7,IF(L46="A",10,15)),
                 IF(B46="AIE",IF(L46="L",5,IF(L46="A",7,10)),
                    IF(B46="SE",IF(L46="L",4,IF(L46="A",5,7)),
                       IF(OR(B46="EE",B46="CE"),IF(L46="L",3,IF(L46="A",4,6)),""))))))))),
   IF('Dados da OS'!$D$8=Parâmetros!$B$5,
      IF(OR(AND(B46="INM",N46&lt;&gt;"VF"),AND(N46="VF",B46&lt;&gt;"INM")),"",
         IF(B46="INM",IF(N46="VF",M46*H46,""),
            IF(B46="PE",4.6,
            IF(B46="AL",7,"")))),
   IF('Dados da OS'!$D$8=Parâmetros!$B$6,
      IF(B46="ALI",35,IF(B46="AIE",15,"")),""))
    )
)</f>
        <v>4</v>
      </c>
      <c r="Q46" s="60">
        <f t="shared" si="5"/>
        <v>2</v>
      </c>
      <c r="R46" s="61"/>
      <c r="S46" s="62" t="s">
        <v>333</v>
      </c>
      <c r="T46" s="80" t="s">
        <v>21</v>
      </c>
      <c r="U46" s="215" t="s">
        <v>214</v>
      </c>
      <c r="V46" s="99" t="s">
        <v>121</v>
      </c>
      <c r="W46" s="55" t="s">
        <v>56</v>
      </c>
      <c r="X46" s="55">
        <v>9</v>
      </c>
      <c r="Y46" s="56" t="s">
        <v>295</v>
      </c>
      <c r="Z46" s="55">
        <v>2</v>
      </c>
      <c r="AA46" s="56" t="s">
        <v>296</v>
      </c>
      <c r="AB46" s="55"/>
      <c r="AC46" s="57" t="str">
        <f t="shared" si="6"/>
        <v>EEA</v>
      </c>
      <c r="AD46" s="57" t="str">
        <f t="shared" si="7"/>
        <v>EEA50A2</v>
      </c>
      <c r="AE46" s="57" t="str">
        <f xml:space="preserve">
IF(OR('Dados da OS'!$D$8=Parâmetros!$B$3,'Dados da OS'!$D$8=Parâmetros!$B$4),
  IF(OR(ISBLANK(X46),ISBLANK(Z46)),
     IF(OR(V46="ALI",V46="AIE"),"L",IF(ISBLANK(V46),"","A")),
     IF(V46="EE",IF(Z46&gt;=3,IF(X46&gt;=5,"H","A"),
     IF(Z46&gt;=2,IF(X46&gt;=16,"H",IF(X46&lt;=4,"L","A")),IF(X46&lt;=15,"L","A"))),
     IF(OR(V46="SE",V46="CE"),IF(Z46&gt;=4,IF(X46&gt;=6,"H","A"),IF(Z46&gt;=2,IF(X46&gt;=20,"H",IF(X46&lt;=5,"L","A")),IF(X46&lt;=19,"L","A"))),
     IF(OR(V46="ALI",V46="AIE"),IF(Z46&gt;=6,IF(X46&gt;=20,"H","A"),IF(Z46&gt;=2,IF(X46&gt;=51,"H",IF(X46&lt;=19,"L","A")),IF(X46&lt;=50,"L","A"))))))),
IF('Dados da OS'!$D$8=Parâmetros!$B$6,"Indicativa",
IF('Dados da OS'!$D$8=Parâmetros!$B$5,"PFS","")))</f>
        <v>A</v>
      </c>
      <c r="AF46" s="57">
        <f>IFERROR(VLOOKUP(W46,'Fatores de Impacto e INMs'!$A$3:$D$32,3,0),1)</f>
        <v>0.5</v>
      </c>
      <c r="AG46" s="57" t="str">
        <f>IFERROR(VLOOKUP(W46,'Fatores de Impacto e INMs'!$A$3:$E$32,5,0),1)</f>
        <v>VP</v>
      </c>
      <c r="AH46" s="82" t="str">
        <f xml:space="preserve">
IF(OR('Dados da OS'!$D$8="Selecione o tipo da contagem",ISBLANK('Dados da OS'!$D$8),V46="INM",V46="N/A",ISBLANK(V46),ISBLANK(W46),AG46="VF"),"-",
   IF('Dados da OS'!$D$8=Parâmetros!$B$3,
      IF(OR(ISBLANK(X46),ISBLANK(Z46)),"-",
         IF(AE46="L","Baixa",IF(AE46="A","Média",IF(AE46="H","Alta","-")))),
      IF('Dados da OS'!$D$8=Parâmetros!$B$4,
         IF(OR(V46="ALI",V46="AIE"),"Baixa",IF(OR(V46="EE",V46="SE",V46="CE"),"Média","-")),
         IF(OR('Dados da OS'!$D$8=Parâmetros!$B$5,'Dados da OS'!$D$8=Parâmetros!$B$6),"-"))))</f>
        <v>Média</v>
      </c>
      <c r="AI46" s="83">
        <f xml:space="preserve">
IF(OR(ISBLANK(V46),ISBLANK(U46),ISBLANK(W46),V46="N/A",ISBLANK('Dados da OS'!$D$8)),"",
   IF(OR('Dados da OS'!$D$8=Parâmetros!$B$3,'Dados da OS'!$D$8=Parâmetros!$B$4),
      IF(OR(AND(V46="INM",AG46&lt;&gt;"VF"),AND(AG46="VF",V46&lt;&gt;"INM")),"",
        IF(AND(V46="INM",AG46="VF"),IF(ISBLANK(AB46),"",AF46*AB46),
        IF('Dados da OS'!$D$8=Parâmetros!$B$4,
           IF(OR(V46="CE",V46="EE"),4,IF(V46="SE",5,IF(V46="ALI",7,IF(V46="AIE",5,"")))),
        IF('Dados da OS'!$D$8=Parâmetros!$B$3,
           IF(OR(ISBLANK(X46),ISBLANK(Z46)),"",
              IF(V46="ALI",IF(AE46="L",7,IF(AE46="A",10,15)),
                 IF(V46="AIE",IF(AE46="L",5,IF(AE46="A",7,10)),
                    IF(V46="SE",IF(AE46="L",4,IF(AE46="A",5,7)),
                       IF(OR(V46="EE",V46="CE"),IF(AE46="L",3,IF(AE46="A",4,6)),""))))))))),
   IF('Dados da OS'!$D$8=Parâmetros!$B$5,
      IF(OR(AND(V46="INM",AG46&lt;&gt;"VF"),AND(AG46="VF",V46&lt;&gt;"INM")),"",
         IF(V46="INM",IF(AG46="VF",AF46*AB46,""),
            IF(V46="PE",4.6,
            IF(V46="AL",7,"")))),
   IF('Dados da OS'!$D$8=Parâmetros!$B$6,
      IF(V46="ALI",35,IF(V46="AIE",15,"")),""))
    )
)</f>
        <v>4</v>
      </c>
      <c r="AJ46" s="82">
        <f t="shared" si="8"/>
        <v>2</v>
      </c>
      <c r="AK46" s="84"/>
      <c r="AL46" s="85" t="s">
        <v>21</v>
      </c>
      <c r="AM46" s="86"/>
      <c r="AN46" s="85"/>
      <c r="AO46" s="87"/>
      <c r="AP46" s="85"/>
      <c r="AQ46" s="86"/>
      <c r="AR46" s="85"/>
    </row>
    <row r="47" spans="1:44" ht="15.75" customHeight="1">
      <c r="A47" s="54" t="s">
        <v>297</v>
      </c>
      <c r="B47" s="100" t="s">
        <v>121</v>
      </c>
      <c r="C47" s="55" t="s">
        <v>56</v>
      </c>
      <c r="D47" s="55">
        <v>9</v>
      </c>
      <c r="E47" s="56" t="s">
        <v>295</v>
      </c>
      <c r="F47" s="55">
        <v>2</v>
      </c>
      <c r="G47" s="56" t="s">
        <v>296</v>
      </c>
      <c r="H47" s="55"/>
      <c r="I47" s="64"/>
      <c r="J47" s="57" t="str">
        <f t="shared" si="9"/>
        <v>EEA</v>
      </c>
      <c r="K47" s="57" t="str">
        <f t="shared" si="10"/>
        <v>EEA50A2</v>
      </c>
      <c r="L47" s="57" t="str">
        <f xml:space="preserve">
IF(OR('Dados da OS'!$D$8=Parâmetros!$B$3,'Dados da OS'!$D$8=Parâmetros!$B$4),
  IF(OR(ISBLANK(D47),ISBLANK(F47)),
     IF(OR(B47="ALI",B47="AIE"),"L",IF(ISBLANK(B47),"","A")),
     IF(B47="EE",IF(F47&gt;=3,IF(D47&gt;=5,"H","A"),
     IF(F47&gt;=2,IF(D47&gt;=16,"H",IF(D47&lt;=4,"L","A")),IF(D47&lt;=15,"L","A"))),
     IF(OR(B47="SE",B47="CE"),IF(F47&gt;=4,IF(D47&gt;=6,"H","A"),IF(F47&gt;=2,IF(D47&gt;=20,"H",IF(D47&lt;=5,"L","A")),IF(D47&lt;=19,"L","A"))),
     IF(OR(B47="ALI",B47="AIE"),IF(F47&gt;=6,IF(D47&gt;=20,"H","A"),IF(F47&gt;=2,IF(D47&gt;=51,"H",IF(D47&lt;=19,"L","A")),IF(D47&lt;=50,"L","A"))))))),
IF('Dados da OS'!$D$8=Parâmetros!$B$6,"Indicativa",
IF('Dados da OS'!$D$8=Parâmetros!$B$5,"PFS","")))</f>
        <v>A</v>
      </c>
      <c r="M47" s="57">
        <f>IFERROR(VLOOKUP(C47,'Fatores de Impacto e INMs'!$A$3:$D$32,3,0),1)</f>
        <v>0.5</v>
      </c>
      <c r="N47" s="57" t="str">
        <f>IFERROR(VLOOKUP(C47,'Fatores de Impacto e INMs'!$A$3:$E$32,5,0),1)</f>
        <v>VP</v>
      </c>
      <c r="O47" s="63" t="str">
        <f xml:space="preserve">
IF(OR('Dados da OS'!$D$8="Selecione o tipo da contagem",ISBLANK('Dados da OS'!$D$8),B47="INM",B47="N/A",ISBLANK(B47),ISBLANK(C47),N47="VF"),"-",
   IF('Dados da OS'!$D$8=Parâmetros!$B$3,
      IF(OR(ISBLANK(D47),ISBLANK(F47)),"-",
         IF(L47="L","Baixa",IF(L47="A","Média",IF(L47="H","Alta","-")))),
      IF('Dados da OS'!$D$8=Parâmetros!$B$4,
         IF(OR(B47="ALI",B47="AIE"),"Baixa",IF(OR(B47="EE",B47="SE",B47="CE"),"Média","-")),
         IF(OR('Dados da OS'!$D$8=Parâmetros!$B$5,'Dados da OS'!$D$8=Parâmetros!$B$6),"-"))))</f>
        <v>Média</v>
      </c>
      <c r="P47" s="59">
        <f xml:space="preserve">
IF(OR(ISBLANK(B47),ISBLANK(C47),B47="N/A",ISBLANK('Dados da OS'!$D$8)),"",
   IF(OR('Dados da OS'!$D$8=Parâmetros!$B$3,'Dados da OS'!$D$8=Parâmetros!$B$4),
      IF(OR(AND(B47="INM",N47&lt;&gt;"VF"),AND(N47="VF",B47&lt;&gt;"INM")),"",
        IF(AND(B47="INM",N47="VF"),IF(ISBLANK(H47),"",M47*H47),
        IF('Dados da OS'!$D$8=Parâmetros!$B$4,
           IF(OR(B47="CE",B47="EE"),4,IF(B47="SE",5,IF(B47="ALI",7,IF(B47="AIE",5,"")))),
        IF('Dados da OS'!$D$8=Parâmetros!$B$3,
           IF(OR(ISBLANK(D47),ISBLANK(F47)),"",
              IF(B47="ALI",IF(L47="L",7,IF(L47="A",10,15)),
                 IF(B47="AIE",IF(L47="L",5,IF(L47="A",7,10)),
                    IF(B47="SE",IF(L47="L",4,IF(L47="A",5,7)),
                       IF(OR(B47="EE",B47="CE"),IF(L47="L",3,IF(L47="A",4,6)),""))))))))),
   IF('Dados da OS'!$D$8=Parâmetros!$B$5,
      IF(OR(AND(B47="INM",N47&lt;&gt;"VF"),AND(N47="VF",B47&lt;&gt;"INM")),"",
         IF(B47="INM",IF(N47="VF",M47*H47,""),
            IF(B47="PE",4.6,
            IF(B47="AL",7,"")))),
   IF('Dados da OS'!$D$8=Parâmetros!$B$6,
      IF(B47="ALI",35,IF(B47="AIE",15,"")),""))
    )
)</f>
        <v>4</v>
      </c>
      <c r="Q47" s="60">
        <f t="shared" si="5"/>
        <v>2</v>
      </c>
      <c r="R47" s="61"/>
      <c r="S47" s="62" t="s">
        <v>333</v>
      </c>
      <c r="T47" s="80" t="s">
        <v>21</v>
      </c>
      <c r="U47" s="215" t="s">
        <v>214</v>
      </c>
      <c r="V47" s="99" t="s">
        <v>121</v>
      </c>
      <c r="W47" s="55" t="s">
        <v>56</v>
      </c>
      <c r="X47" s="55">
        <v>9</v>
      </c>
      <c r="Y47" s="56" t="s">
        <v>295</v>
      </c>
      <c r="Z47" s="55">
        <v>2</v>
      </c>
      <c r="AA47" s="56" t="s">
        <v>296</v>
      </c>
      <c r="AB47" s="55"/>
      <c r="AC47" s="57" t="str">
        <f t="shared" si="6"/>
        <v>EEA</v>
      </c>
      <c r="AD47" s="57" t="str">
        <f t="shared" si="7"/>
        <v>EEA50A2</v>
      </c>
      <c r="AE47" s="57" t="str">
        <f xml:space="preserve">
IF(OR('Dados da OS'!$D$8=Parâmetros!$B$3,'Dados da OS'!$D$8=Parâmetros!$B$4),
  IF(OR(ISBLANK(X47),ISBLANK(Z47)),
     IF(OR(V47="ALI",V47="AIE"),"L",IF(ISBLANK(V47),"","A")),
     IF(V47="EE",IF(Z47&gt;=3,IF(X47&gt;=5,"H","A"),
     IF(Z47&gt;=2,IF(X47&gt;=16,"H",IF(X47&lt;=4,"L","A")),IF(X47&lt;=15,"L","A"))),
     IF(OR(V47="SE",V47="CE"),IF(Z47&gt;=4,IF(X47&gt;=6,"H","A"),IF(Z47&gt;=2,IF(X47&gt;=20,"H",IF(X47&lt;=5,"L","A")),IF(X47&lt;=19,"L","A"))),
     IF(OR(V47="ALI",V47="AIE"),IF(Z47&gt;=6,IF(X47&gt;=20,"H","A"),IF(Z47&gt;=2,IF(X47&gt;=51,"H",IF(X47&lt;=19,"L","A")),IF(X47&lt;=50,"L","A"))))))),
IF('Dados da OS'!$D$8=Parâmetros!$B$6,"Indicativa",
IF('Dados da OS'!$D$8=Parâmetros!$B$5,"PFS","")))</f>
        <v>A</v>
      </c>
      <c r="AF47" s="57">
        <f>IFERROR(VLOOKUP(W47,'Fatores de Impacto e INMs'!$A$3:$D$32,3,0),1)</f>
        <v>0.5</v>
      </c>
      <c r="AG47" s="57" t="str">
        <f>IFERROR(VLOOKUP(W47,'Fatores de Impacto e INMs'!$A$3:$E$32,5,0),1)</f>
        <v>VP</v>
      </c>
      <c r="AH47" s="82" t="str">
        <f xml:space="preserve">
IF(OR('Dados da OS'!$D$8="Selecione o tipo da contagem",ISBLANK('Dados da OS'!$D$8),V47="INM",V47="N/A",ISBLANK(V47),ISBLANK(W47),AG47="VF"),"-",
   IF('Dados da OS'!$D$8=Parâmetros!$B$3,
      IF(OR(ISBLANK(X47),ISBLANK(Z47)),"-",
         IF(AE47="L","Baixa",IF(AE47="A","Média",IF(AE47="H","Alta","-")))),
      IF('Dados da OS'!$D$8=Parâmetros!$B$4,
         IF(OR(V47="ALI",V47="AIE"),"Baixa",IF(OR(V47="EE",V47="SE",V47="CE"),"Média","-")),
         IF(OR('Dados da OS'!$D$8=Parâmetros!$B$5,'Dados da OS'!$D$8=Parâmetros!$B$6),"-"))))</f>
        <v>Média</v>
      </c>
      <c r="AI47" s="83">
        <f xml:space="preserve">
IF(OR(ISBLANK(V47),ISBLANK(U47),ISBLANK(W47),V47="N/A",ISBLANK('Dados da OS'!$D$8)),"",
   IF(OR('Dados da OS'!$D$8=Parâmetros!$B$3,'Dados da OS'!$D$8=Parâmetros!$B$4),
      IF(OR(AND(V47="INM",AG47&lt;&gt;"VF"),AND(AG47="VF",V47&lt;&gt;"INM")),"",
        IF(AND(V47="INM",AG47="VF"),IF(ISBLANK(AB47),"",AF47*AB47),
        IF('Dados da OS'!$D$8=Parâmetros!$B$4,
           IF(OR(V47="CE",V47="EE"),4,IF(V47="SE",5,IF(V47="ALI",7,IF(V47="AIE",5,"")))),
        IF('Dados da OS'!$D$8=Parâmetros!$B$3,
           IF(OR(ISBLANK(X47),ISBLANK(Z47)),"",
              IF(V47="ALI",IF(AE47="L",7,IF(AE47="A",10,15)),
                 IF(V47="AIE",IF(AE47="L",5,IF(AE47="A",7,10)),
                    IF(V47="SE",IF(AE47="L",4,IF(AE47="A",5,7)),
                       IF(OR(V47="EE",V47="CE"),IF(AE47="L",3,IF(AE47="A",4,6)),""))))))))),
   IF('Dados da OS'!$D$8=Parâmetros!$B$5,
      IF(OR(AND(V47="INM",AG47&lt;&gt;"VF"),AND(AG47="VF",V47&lt;&gt;"INM")),"",
         IF(V47="INM",IF(AG47="VF",AF47*AB47,""),
            IF(V47="PE",4.6,
            IF(V47="AL",7,"")))),
   IF('Dados da OS'!$D$8=Parâmetros!$B$6,
      IF(V47="ALI",35,IF(V47="AIE",15,"")),""))
    )
)</f>
        <v>4</v>
      </c>
      <c r="AJ47" s="82">
        <f t="shared" si="8"/>
        <v>2</v>
      </c>
      <c r="AK47" s="84"/>
      <c r="AL47" s="85" t="s">
        <v>21</v>
      </c>
      <c r="AM47" s="86"/>
      <c r="AN47" s="85"/>
      <c r="AO47" s="87"/>
      <c r="AP47" s="85"/>
      <c r="AQ47" s="86"/>
      <c r="AR47" s="85"/>
    </row>
    <row r="48" spans="1:44" ht="15.75" customHeight="1">
      <c r="A48" s="54" t="s">
        <v>298</v>
      </c>
      <c r="B48" s="100"/>
      <c r="C48" s="55"/>
      <c r="D48" s="55"/>
      <c r="E48" s="56"/>
      <c r="F48" s="55"/>
      <c r="G48" s="56"/>
      <c r="H48" s="55"/>
      <c r="I48" s="64"/>
      <c r="J48" s="57" t="str">
        <f t="shared" si="9"/>
        <v/>
      </c>
      <c r="K48" s="57" t="str">
        <f t="shared" si="10"/>
        <v/>
      </c>
      <c r="L48" s="57" t="str">
        <f xml:space="preserve">
IF(OR('Dados da OS'!$D$8=Parâmetros!$B$3,'Dados da OS'!$D$8=Parâmetros!$B$4),
  IF(OR(ISBLANK(D48),ISBLANK(F48)),
     IF(OR(B48="ALI",B48="AIE"),"L",IF(ISBLANK(B48),"","A")),
     IF(B48="EE",IF(F48&gt;=3,IF(D48&gt;=5,"H","A"),
     IF(F48&gt;=2,IF(D48&gt;=16,"H",IF(D48&lt;=4,"L","A")),IF(D48&lt;=15,"L","A"))),
     IF(OR(B48="SE",B48="CE"),IF(F48&gt;=4,IF(D48&gt;=6,"H","A"),IF(F48&gt;=2,IF(D48&gt;=20,"H",IF(D48&lt;=5,"L","A")),IF(D48&lt;=19,"L","A"))),
     IF(OR(B48="ALI",B48="AIE"),IF(F48&gt;=6,IF(D48&gt;=20,"H","A"),IF(F48&gt;=2,IF(D48&gt;=51,"H",IF(D48&lt;=19,"L","A")),IF(D48&lt;=50,"L","A"))))))),
IF('Dados da OS'!$D$8=Parâmetros!$B$6,"Indicativa",
IF('Dados da OS'!$D$8=Parâmetros!$B$5,"PFS","")))</f>
        <v/>
      </c>
      <c r="M48" s="57">
        <f>IFERROR(VLOOKUP(C48,'Fatores de Impacto e INMs'!$A$3:$D$32,3,0),1)</f>
        <v>1</v>
      </c>
      <c r="N48" s="57">
        <f>IFERROR(VLOOKUP(C48,'Fatores de Impacto e INMs'!$A$3:$E$32,5,0),1)</f>
        <v>1</v>
      </c>
      <c r="O48" s="63" t="str">
        <f xml:space="preserve">
IF(OR('Dados da OS'!$D$8="Selecione o tipo da contagem",ISBLANK('Dados da OS'!$D$8),B48="INM",B48="N/A",ISBLANK(B48),ISBLANK(C48),N48="VF"),"-",
   IF('Dados da OS'!$D$8=Parâmetros!$B$3,
      IF(OR(ISBLANK(D48),ISBLANK(F48)),"-",
         IF(L48="L","Baixa",IF(L48="A","Média",IF(L48="H","Alta","-")))),
      IF('Dados da OS'!$D$8=Parâmetros!$B$4,
         IF(OR(B48="ALI",B48="AIE"),"Baixa",IF(OR(B48="EE",B48="SE",B48="CE"),"Média","-")),
         IF(OR('Dados da OS'!$D$8=Parâmetros!$B$5,'Dados da OS'!$D$8=Parâmetros!$B$6),"-"))))</f>
        <v>-</v>
      </c>
      <c r="P48" s="59" t="str">
        <f xml:space="preserve">
IF(OR(ISBLANK(B48),ISBLANK(C48),B48="N/A",ISBLANK('Dados da OS'!$D$8)),"",
   IF(OR('Dados da OS'!$D$8=Parâmetros!$B$3,'Dados da OS'!$D$8=Parâmetros!$B$4),
      IF(OR(AND(B48="INM",N48&lt;&gt;"VF"),AND(N48="VF",B48&lt;&gt;"INM")),"",
        IF(AND(B48="INM",N48="VF"),IF(ISBLANK(H48),"",M48*H48),
        IF('Dados da OS'!$D$8=Parâmetros!$B$4,
           IF(OR(B48="CE",B48="EE"),4,IF(B48="SE",5,IF(B48="ALI",7,IF(B48="AIE",5,"")))),
        IF('Dados da OS'!$D$8=Parâmetros!$B$3,
           IF(OR(ISBLANK(D48),ISBLANK(F48)),"",
              IF(B48="ALI",IF(L48="L",7,IF(L48="A",10,15)),
                 IF(B48="AIE",IF(L48="L",5,IF(L48="A",7,10)),
                    IF(B48="SE",IF(L48="L",4,IF(L48="A",5,7)),
                       IF(OR(B48="EE",B48="CE"),IF(L48="L",3,IF(L48="A",4,6)),""))))))))),
   IF('Dados da OS'!$D$8=Parâmetros!$B$5,
      IF(OR(AND(B48="INM",N48&lt;&gt;"VF"),AND(N48="VF",B48&lt;&gt;"INM")),"",
         IF(B48="INM",IF(N48="VF",M48*H48,""),
            IF(B48="PE",4.6,
            IF(B48="AL",7,"")))),
   IF('Dados da OS'!$D$8=Parâmetros!$B$6,
      IF(B48="ALI",35,IF(B48="AIE",15,"")),""))
    )
)</f>
        <v/>
      </c>
      <c r="Q48" s="60" t="str">
        <f t="shared" si="5"/>
        <v/>
      </c>
      <c r="R48" s="61"/>
      <c r="S48" s="62"/>
      <c r="T48" s="80" t="s">
        <v>21</v>
      </c>
      <c r="U48" s="215"/>
      <c r="V48" s="99"/>
      <c r="W48" s="55"/>
      <c r="X48" s="55"/>
      <c r="Y48" s="56"/>
      <c r="Z48" s="55"/>
      <c r="AA48" s="56"/>
      <c r="AB48" s="55"/>
      <c r="AC48" s="57" t="str">
        <f t="shared" si="6"/>
        <v/>
      </c>
      <c r="AD48" s="57" t="str">
        <f t="shared" si="7"/>
        <v/>
      </c>
      <c r="AE48" s="57" t="str">
        <f xml:space="preserve">
IF(OR('Dados da OS'!$D$8=Parâmetros!$B$3,'Dados da OS'!$D$8=Parâmetros!$B$4),
  IF(OR(ISBLANK(X48),ISBLANK(Z48)),
     IF(OR(V48="ALI",V48="AIE"),"L",IF(ISBLANK(V48),"","A")),
     IF(V48="EE",IF(Z48&gt;=3,IF(X48&gt;=5,"H","A"),
     IF(Z48&gt;=2,IF(X48&gt;=16,"H",IF(X48&lt;=4,"L","A")),IF(X48&lt;=15,"L","A"))),
     IF(OR(V48="SE",V48="CE"),IF(Z48&gt;=4,IF(X48&gt;=6,"H","A"),IF(Z48&gt;=2,IF(X48&gt;=20,"H",IF(X48&lt;=5,"L","A")),IF(X48&lt;=19,"L","A"))),
     IF(OR(V48="ALI",V48="AIE"),IF(Z48&gt;=6,IF(X48&gt;=20,"H","A"),IF(Z48&gt;=2,IF(X48&gt;=51,"H",IF(X48&lt;=19,"L","A")),IF(X48&lt;=50,"L","A"))))))),
IF('Dados da OS'!$D$8=Parâmetros!$B$6,"Indicativa",
IF('Dados da OS'!$D$8=Parâmetros!$B$5,"PFS","")))</f>
        <v/>
      </c>
      <c r="AF48" s="57">
        <f>IFERROR(VLOOKUP(W48,'Fatores de Impacto e INMs'!$A$3:$D$32,3,0),1)</f>
        <v>1</v>
      </c>
      <c r="AG48" s="57">
        <f>IFERROR(VLOOKUP(W48,'Fatores de Impacto e INMs'!$A$3:$E$32,5,0),1)</f>
        <v>1</v>
      </c>
      <c r="AH48" s="82" t="str">
        <f xml:space="preserve">
IF(OR('Dados da OS'!$D$8="Selecione o tipo da contagem",ISBLANK('Dados da OS'!$D$8),V48="INM",V48="N/A",ISBLANK(V48),ISBLANK(W48),AG48="VF"),"-",
   IF('Dados da OS'!$D$8=Parâmetros!$B$3,
      IF(OR(ISBLANK(X48),ISBLANK(Z48)),"-",
         IF(AE48="L","Baixa",IF(AE48="A","Média",IF(AE48="H","Alta","-")))),
      IF('Dados da OS'!$D$8=Parâmetros!$B$4,
         IF(OR(V48="ALI",V48="AIE"),"Baixa",IF(OR(V48="EE",V48="SE",V48="CE"),"Média","-")),
         IF(OR('Dados da OS'!$D$8=Parâmetros!$B$5,'Dados da OS'!$D$8=Parâmetros!$B$6),"-"))))</f>
        <v>-</v>
      </c>
      <c r="AI48" s="83" t="str">
        <f xml:space="preserve">
IF(OR(ISBLANK(V48),ISBLANK(U48),ISBLANK(W48),V48="N/A",ISBLANK('Dados da OS'!$D$8)),"",
   IF(OR('Dados da OS'!$D$8=Parâmetros!$B$3,'Dados da OS'!$D$8=Parâmetros!$B$4),
      IF(OR(AND(V48="INM",AG48&lt;&gt;"VF"),AND(AG48="VF",V48&lt;&gt;"INM")),"",
        IF(AND(V48="INM",AG48="VF"),IF(ISBLANK(AB48),"",AF48*AB48),
        IF('Dados da OS'!$D$8=Parâmetros!$B$4,
           IF(OR(V48="CE",V48="EE"),4,IF(V48="SE",5,IF(V48="ALI",7,IF(V48="AIE",5,"")))),
        IF('Dados da OS'!$D$8=Parâmetros!$B$3,
           IF(OR(ISBLANK(X48),ISBLANK(Z48)),"",
              IF(V48="ALI",IF(AE48="L",7,IF(AE48="A",10,15)),
                 IF(V48="AIE",IF(AE48="L",5,IF(AE48="A",7,10)),
                    IF(V48="SE",IF(AE48="L",4,IF(AE48="A",5,7)),
                       IF(OR(V48="EE",V48="CE"),IF(AE48="L",3,IF(AE48="A",4,6)),""))))))))),
   IF('Dados da OS'!$D$8=Parâmetros!$B$5,
      IF(OR(AND(V48="INM",AG48&lt;&gt;"VF"),AND(AG48="VF",V48&lt;&gt;"INM")),"",
         IF(V48="INM",IF(AG48="VF",AF48*AB48,""),
            IF(V48="PE",4.6,
            IF(V48="AL",7,"")))),
   IF('Dados da OS'!$D$8=Parâmetros!$B$6,
      IF(V48="ALI",35,IF(V48="AIE",15,"")),""))
    )
)</f>
        <v/>
      </c>
      <c r="AJ48" s="82" t="str">
        <f t="shared" si="8"/>
        <v/>
      </c>
      <c r="AK48" s="84"/>
      <c r="AL48" s="85" t="s">
        <v>21</v>
      </c>
      <c r="AM48" s="86"/>
      <c r="AN48" s="85"/>
      <c r="AO48" s="87"/>
      <c r="AP48" s="85"/>
      <c r="AQ48" s="86"/>
      <c r="AR48" s="85"/>
    </row>
    <row r="49" spans="1:44" ht="15.75" customHeight="1">
      <c r="A49" s="54" t="s">
        <v>299</v>
      </c>
      <c r="B49" s="100" t="s">
        <v>121</v>
      </c>
      <c r="C49" s="55" t="s">
        <v>56</v>
      </c>
      <c r="D49" s="55">
        <v>9</v>
      </c>
      <c r="E49" s="56" t="s">
        <v>300</v>
      </c>
      <c r="F49" s="55">
        <v>2</v>
      </c>
      <c r="G49" s="56" t="s">
        <v>301</v>
      </c>
      <c r="H49" s="55"/>
      <c r="I49" s="64"/>
      <c r="J49" s="57" t="str">
        <f t="shared" si="9"/>
        <v>EEA</v>
      </c>
      <c r="K49" s="57" t="str">
        <f t="shared" si="10"/>
        <v>EEA50A2</v>
      </c>
      <c r="L49" s="57" t="str">
        <f xml:space="preserve">
IF(OR('Dados da OS'!$D$8=Parâmetros!$B$3,'Dados da OS'!$D$8=Parâmetros!$B$4),
  IF(OR(ISBLANK(D49),ISBLANK(F49)),
     IF(OR(B49="ALI",B49="AIE"),"L",IF(ISBLANK(B49),"","A")),
     IF(B49="EE",IF(F49&gt;=3,IF(D49&gt;=5,"H","A"),
     IF(F49&gt;=2,IF(D49&gt;=16,"H",IF(D49&lt;=4,"L","A")),IF(D49&lt;=15,"L","A"))),
     IF(OR(B49="SE",B49="CE"),IF(F49&gt;=4,IF(D49&gt;=6,"H","A"),IF(F49&gt;=2,IF(D49&gt;=20,"H",IF(D49&lt;=5,"L","A")),IF(D49&lt;=19,"L","A"))),
     IF(OR(B49="ALI",B49="AIE"),IF(F49&gt;=6,IF(D49&gt;=20,"H","A"),IF(F49&gt;=2,IF(D49&gt;=51,"H",IF(D49&lt;=19,"L","A")),IF(D49&lt;=50,"L","A"))))))),
IF('Dados da OS'!$D$8=Parâmetros!$B$6,"Indicativa",
IF('Dados da OS'!$D$8=Parâmetros!$B$5,"PFS","")))</f>
        <v>A</v>
      </c>
      <c r="M49" s="57">
        <f>IFERROR(VLOOKUP(C49,'Fatores de Impacto e INMs'!$A$3:$D$32,3,0),1)</f>
        <v>0.5</v>
      </c>
      <c r="N49" s="57" t="str">
        <f>IFERROR(VLOOKUP(C49,'Fatores de Impacto e INMs'!$A$3:$E$32,5,0),1)</f>
        <v>VP</v>
      </c>
      <c r="O49" s="63" t="str">
        <f xml:space="preserve">
IF(OR('Dados da OS'!$D$8="Selecione o tipo da contagem",ISBLANK('Dados da OS'!$D$8),B49="INM",B49="N/A",ISBLANK(B49),ISBLANK(C49),N49="VF"),"-",
   IF('Dados da OS'!$D$8=Parâmetros!$B$3,
      IF(OR(ISBLANK(D49),ISBLANK(F49)),"-",
         IF(L49="L","Baixa",IF(L49="A","Média",IF(L49="H","Alta","-")))),
      IF('Dados da OS'!$D$8=Parâmetros!$B$4,
         IF(OR(B49="ALI",B49="AIE"),"Baixa",IF(OR(B49="EE",B49="SE",B49="CE"),"Média","-")),
         IF(OR('Dados da OS'!$D$8=Parâmetros!$B$5,'Dados da OS'!$D$8=Parâmetros!$B$6),"-"))))</f>
        <v>Média</v>
      </c>
      <c r="P49" s="59">
        <f xml:space="preserve">
IF(OR(ISBLANK(B49),ISBLANK(C49),B49="N/A",ISBLANK('Dados da OS'!$D$8)),"",
   IF(OR('Dados da OS'!$D$8=Parâmetros!$B$3,'Dados da OS'!$D$8=Parâmetros!$B$4),
      IF(OR(AND(B49="INM",N49&lt;&gt;"VF"),AND(N49="VF",B49&lt;&gt;"INM")),"",
        IF(AND(B49="INM",N49="VF"),IF(ISBLANK(H49),"",M49*H49),
        IF('Dados da OS'!$D$8=Parâmetros!$B$4,
           IF(OR(B49="CE",B49="EE"),4,IF(B49="SE",5,IF(B49="ALI",7,IF(B49="AIE",5,"")))),
        IF('Dados da OS'!$D$8=Parâmetros!$B$3,
           IF(OR(ISBLANK(D49),ISBLANK(F49)),"",
              IF(B49="ALI",IF(L49="L",7,IF(L49="A",10,15)),
                 IF(B49="AIE",IF(L49="L",5,IF(L49="A",7,10)),
                    IF(B49="SE",IF(L49="L",4,IF(L49="A",5,7)),
                       IF(OR(B49="EE",B49="CE"),IF(L49="L",3,IF(L49="A",4,6)),""))))))))),
   IF('Dados da OS'!$D$8=Parâmetros!$B$5,
      IF(OR(AND(B49="INM",N49&lt;&gt;"VF"),AND(N49="VF",B49&lt;&gt;"INM")),"",
         IF(B49="INM",IF(N49="VF",M49*H49,""),
            IF(B49="PE",4.6,
            IF(B49="AL",7,"")))),
   IF('Dados da OS'!$D$8=Parâmetros!$B$6,
      IF(B49="ALI",35,IF(B49="AIE",15,"")),""))
    )
)</f>
        <v>4</v>
      </c>
      <c r="Q49" s="60">
        <f t="shared" si="5"/>
        <v>2</v>
      </c>
      <c r="R49" s="61"/>
      <c r="S49" s="62" t="s">
        <v>334</v>
      </c>
      <c r="T49" s="80" t="s">
        <v>21</v>
      </c>
      <c r="U49" s="215" t="s">
        <v>214</v>
      </c>
      <c r="V49" s="99" t="s">
        <v>121</v>
      </c>
      <c r="W49" s="55" t="s">
        <v>56</v>
      </c>
      <c r="X49" s="55">
        <v>9</v>
      </c>
      <c r="Y49" s="56" t="s">
        <v>300</v>
      </c>
      <c r="Z49" s="55">
        <v>2</v>
      </c>
      <c r="AA49" s="56" t="s">
        <v>301</v>
      </c>
      <c r="AB49" s="55"/>
      <c r="AC49" s="57" t="str">
        <f t="shared" si="6"/>
        <v>EEA</v>
      </c>
      <c r="AD49" s="57" t="str">
        <f t="shared" si="7"/>
        <v>EEA50A2</v>
      </c>
      <c r="AE49" s="57" t="str">
        <f xml:space="preserve">
IF(OR('Dados da OS'!$D$8=Parâmetros!$B$3,'Dados da OS'!$D$8=Parâmetros!$B$4),
  IF(OR(ISBLANK(X49),ISBLANK(Z49)),
     IF(OR(V49="ALI",V49="AIE"),"L",IF(ISBLANK(V49),"","A")),
     IF(V49="EE",IF(Z49&gt;=3,IF(X49&gt;=5,"H","A"),
     IF(Z49&gt;=2,IF(X49&gt;=16,"H",IF(X49&lt;=4,"L","A")),IF(X49&lt;=15,"L","A"))),
     IF(OR(V49="SE",V49="CE"),IF(Z49&gt;=4,IF(X49&gt;=6,"H","A"),IF(Z49&gt;=2,IF(X49&gt;=20,"H",IF(X49&lt;=5,"L","A")),IF(X49&lt;=19,"L","A"))),
     IF(OR(V49="ALI",V49="AIE"),IF(Z49&gt;=6,IF(X49&gt;=20,"H","A"),IF(Z49&gt;=2,IF(X49&gt;=51,"H",IF(X49&lt;=19,"L","A")),IF(X49&lt;=50,"L","A"))))))),
IF('Dados da OS'!$D$8=Parâmetros!$B$6,"Indicativa",
IF('Dados da OS'!$D$8=Parâmetros!$B$5,"PFS","")))</f>
        <v>A</v>
      </c>
      <c r="AF49" s="57">
        <f>IFERROR(VLOOKUP(W49,'Fatores de Impacto e INMs'!$A$3:$D$32,3,0),1)</f>
        <v>0.5</v>
      </c>
      <c r="AG49" s="57" t="str">
        <f>IFERROR(VLOOKUP(W49,'Fatores de Impacto e INMs'!$A$3:$E$32,5,0),1)</f>
        <v>VP</v>
      </c>
      <c r="AH49" s="82" t="str">
        <f xml:space="preserve">
IF(OR('Dados da OS'!$D$8="Selecione o tipo da contagem",ISBLANK('Dados da OS'!$D$8),V49="INM",V49="N/A",ISBLANK(V49),ISBLANK(W49),AG49="VF"),"-",
   IF('Dados da OS'!$D$8=Parâmetros!$B$3,
      IF(OR(ISBLANK(X49),ISBLANK(Z49)),"-",
         IF(AE49="L","Baixa",IF(AE49="A","Média",IF(AE49="H","Alta","-")))),
      IF('Dados da OS'!$D$8=Parâmetros!$B$4,
         IF(OR(V49="ALI",V49="AIE"),"Baixa",IF(OR(V49="EE",V49="SE",V49="CE"),"Média","-")),
         IF(OR('Dados da OS'!$D$8=Parâmetros!$B$5,'Dados da OS'!$D$8=Parâmetros!$B$6),"-"))))</f>
        <v>Média</v>
      </c>
      <c r="AI49" s="83">
        <f xml:space="preserve">
IF(OR(ISBLANK(V49),ISBLANK(U49),ISBLANK(W49),V49="N/A",ISBLANK('Dados da OS'!$D$8)),"",
   IF(OR('Dados da OS'!$D$8=Parâmetros!$B$3,'Dados da OS'!$D$8=Parâmetros!$B$4),
      IF(OR(AND(V49="INM",AG49&lt;&gt;"VF"),AND(AG49="VF",V49&lt;&gt;"INM")),"",
        IF(AND(V49="INM",AG49="VF"),IF(ISBLANK(AB49),"",AF49*AB49),
        IF('Dados da OS'!$D$8=Parâmetros!$B$4,
           IF(OR(V49="CE",V49="EE"),4,IF(V49="SE",5,IF(V49="ALI",7,IF(V49="AIE",5,"")))),
        IF('Dados da OS'!$D$8=Parâmetros!$B$3,
           IF(OR(ISBLANK(X49),ISBLANK(Z49)),"",
              IF(V49="ALI",IF(AE49="L",7,IF(AE49="A",10,15)),
                 IF(V49="AIE",IF(AE49="L",5,IF(AE49="A",7,10)),
                    IF(V49="SE",IF(AE49="L",4,IF(AE49="A",5,7)),
                       IF(OR(V49="EE",V49="CE"),IF(AE49="L",3,IF(AE49="A",4,6)),""))))))))),
   IF('Dados da OS'!$D$8=Parâmetros!$B$5,
      IF(OR(AND(V49="INM",AG49&lt;&gt;"VF"),AND(AG49="VF",V49&lt;&gt;"INM")),"",
         IF(V49="INM",IF(AG49="VF",AF49*AB49,""),
            IF(V49="PE",4.6,
            IF(V49="AL",7,"")))),
   IF('Dados da OS'!$D$8=Parâmetros!$B$6,
      IF(V49="ALI",35,IF(V49="AIE",15,"")),""))
    )
)</f>
        <v>4</v>
      </c>
      <c r="AJ49" s="82">
        <f t="shared" si="8"/>
        <v>2</v>
      </c>
      <c r="AK49" s="84"/>
      <c r="AL49" s="85" t="s">
        <v>21</v>
      </c>
      <c r="AM49" s="86"/>
      <c r="AN49" s="85"/>
      <c r="AO49" s="87"/>
      <c r="AP49" s="85"/>
      <c r="AQ49" s="86"/>
      <c r="AR49" s="85"/>
    </row>
    <row r="50" spans="1:44" ht="15.75" customHeight="1">
      <c r="A50" s="54" t="s">
        <v>302</v>
      </c>
      <c r="B50" s="100" t="s">
        <v>121</v>
      </c>
      <c r="C50" s="55" t="s">
        <v>56</v>
      </c>
      <c r="D50" s="55">
        <v>10</v>
      </c>
      <c r="E50" s="56" t="s">
        <v>303</v>
      </c>
      <c r="F50" s="55">
        <v>3</v>
      </c>
      <c r="G50" s="56" t="s">
        <v>304</v>
      </c>
      <c r="H50" s="55"/>
      <c r="I50" s="64"/>
      <c r="J50" s="57" t="str">
        <f t="shared" si="9"/>
        <v>EEH</v>
      </c>
      <c r="K50" s="57" t="str">
        <f t="shared" si="10"/>
        <v>EEA50H3</v>
      </c>
      <c r="L50" s="57" t="str">
        <f xml:space="preserve">
IF(OR('Dados da OS'!$D$8=Parâmetros!$B$3,'Dados da OS'!$D$8=Parâmetros!$B$4),
  IF(OR(ISBLANK(D50),ISBLANK(F50)),
     IF(OR(B50="ALI",B50="AIE"),"L",IF(ISBLANK(B50),"","A")),
     IF(B50="EE",IF(F50&gt;=3,IF(D50&gt;=5,"H","A"),
     IF(F50&gt;=2,IF(D50&gt;=16,"H",IF(D50&lt;=4,"L","A")),IF(D50&lt;=15,"L","A"))),
     IF(OR(B50="SE",B50="CE"),IF(F50&gt;=4,IF(D50&gt;=6,"H","A"),IF(F50&gt;=2,IF(D50&gt;=20,"H",IF(D50&lt;=5,"L","A")),IF(D50&lt;=19,"L","A"))),
     IF(OR(B50="ALI",B50="AIE"),IF(F50&gt;=6,IF(D50&gt;=20,"H","A"),IF(F50&gt;=2,IF(D50&gt;=51,"H",IF(D50&lt;=19,"L","A")),IF(D50&lt;=50,"L","A"))))))),
IF('Dados da OS'!$D$8=Parâmetros!$B$6,"Indicativa",
IF('Dados da OS'!$D$8=Parâmetros!$B$5,"PFS","")))</f>
        <v>H</v>
      </c>
      <c r="M50" s="57">
        <f>IFERROR(VLOOKUP(C50,'Fatores de Impacto e INMs'!$A$3:$D$32,3,0),1)</f>
        <v>0.5</v>
      </c>
      <c r="N50" s="57" t="str">
        <f>IFERROR(VLOOKUP(C50,'Fatores de Impacto e INMs'!$A$3:$E$32,5,0),1)</f>
        <v>VP</v>
      </c>
      <c r="O50" s="63" t="str">
        <f xml:space="preserve">
IF(OR('Dados da OS'!$D$8="Selecione o tipo da contagem",ISBLANK('Dados da OS'!$D$8),B50="INM",B50="N/A",ISBLANK(B50),ISBLANK(C50),N50="VF"),"-",
   IF('Dados da OS'!$D$8=Parâmetros!$B$3,
      IF(OR(ISBLANK(D50),ISBLANK(F50)),"-",
         IF(L50="L","Baixa",IF(L50="A","Média",IF(L50="H","Alta","-")))),
      IF('Dados da OS'!$D$8=Parâmetros!$B$4,
         IF(OR(B50="ALI",B50="AIE"),"Baixa",IF(OR(B50="EE",B50="SE",B50="CE"),"Média","-")),
         IF(OR('Dados da OS'!$D$8=Parâmetros!$B$5,'Dados da OS'!$D$8=Parâmetros!$B$6),"-"))))</f>
        <v>Alta</v>
      </c>
      <c r="P50" s="59">
        <f xml:space="preserve">
IF(OR(ISBLANK(B50),ISBLANK(C50),B50="N/A",ISBLANK('Dados da OS'!$D$8)),"",
   IF(OR('Dados da OS'!$D$8=Parâmetros!$B$3,'Dados da OS'!$D$8=Parâmetros!$B$4),
      IF(OR(AND(B50="INM",N50&lt;&gt;"VF"),AND(N50="VF",B50&lt;&gt;"INM")),"",
        IF(AND(B50="INM",N50="VF"),IF(ISBLANK(H50),"",M50*H50),
        IF('Dados da OS'!$D$8=Parâmetros!$B$4,
           IF(OR(B50="CE",B50="EE"),4,IF(B50="SE",5,IF(B50="ALI",7,IF(B50="AIE",5,"")))),
        IF('Dados da OS'!$D$8=Parâmetros!$B$3,
           IF(OR(ISBLANK(D50),ISBLANK(F50)),"",
              IF(B50="ALI",IF(L50="L",7,IF(L50="A",10,15)),
                 IF(B50="AIE",IF(L50="L",5,IF(L50="A",7,10)),
                    IF(B50="SE",IF(L50="L",4,IF(L50="A",5,7)),
                       IF(OR(B50="EE",B50="CE"),IF(L50="L",3,IF(L50="A",4,6)),""))))))))),
   IF('Dados da OS'!$D$8=Parâmetros!$B$5,
      IF(OR(AND(B50="INM",N50&lt;&gt;"VF"),AND(N50="VF",B50&lt;&gt;"INM")),"",
         IF(B50="INM",IF(N50="VF",M50*H50,""),
            IF(B50="PE",4.6,
            IF(B50="AL",7,"")))),
   IF('Dados da OS'!$D$8=Parâmetros!$B$6,
      IF(B50="ALI",35,IF(B50="AIE",15,"")),""))
    )
)</f>
        <v>6</v>
      </c>
      <c r="Q50" s="60">
        <f t="shared" si="5"/>
        <v>3</v>
      </c>
      <c r="R50" s="61"/>
      <c r="S50" s="62" t="s">
        <v>334</v>
      </c>
      <c r="T50" s="80" t="s">
        <v>21</v>
      </c>
      <c r="U50" s="215" t="s">
        <v>214</v>
      </c>
      <c r="V50" s="99" t="s">
        <v>121</v>
      </c>
      <c r="W50" s="55" t="s">
        <v>56</v>
      </c>
      <c r="X50" s="55">
        <v>10</v>
      </c>
      <c r="Y50" s="56" t="s">
        <v>303</v>
      </c>
      <c r="Z50" s="55">
        <v>3</v>
      </c>
      <c r="AA50" s="56" t="s">
        <v>304</v>
      </c>
      <c r="AB50" s="55"/>
      <c r="AC50" s="57" t="str">
        <f t="shared" si="6"/>
        <v>EEH</v>
      </c>
      <c r="AD50" s="57" t="str">
        <f t="shared" si="7"/>
        <v>EEA50H3</v>
      </c>
      <c r="AE50" s="57" t="str">
        <f xml:space="preserve">
IF(OR('Dados da OS'!$D$8=Parâmetros!$B$3,'Dados da OS'!$D$8=Parâmetros!$B$4),
  IF(OR(ISBLANK(X50),ISBLANK(Z50)),
     IF(OR(V50="ALI",V50="AIE"),"L",IF(ISBLANK(V50),"","A")),
     IF(V50="EE",IF(Z50&gt;=3,IF(X50&gt;=5,"H","A"),
     IF(Z50&gt;=2,IF(X50&gt;=16,"H",IF(X50&lt;=4,"L","A")),IF(X50&lt;=15,"L","A"))),
     IF(OR(V50="SE",V50="CE"),IF(Z50&gt;=4,IF(X50&gt;=6,"H","A"),IF(Z50&gt;=2,IF(X50&gt;=20,"H",IF(X50&lt;=5,"L","A")),IF(X50&lt;=19,"L","A"))),
     IF(OR(V50="ALI",V50="AIE"),IF(Z50&gt;=6,IF(X50&gt;=20,"H","A"),IF(Z50&gt;=2,IF(X50&gt;=51,"H",IF(X50&lt;=19,"L","A")),IF(X50&lt;=50,"L","A"))))))),
IF('Dados da OS'!$D$8=Parâmetros!$B$6,"Indicativa",
IF('Dados da OS'!$D$8=Parâmetros!$B$5,"PFS","")))</f>
        <v>H</v>
      </c>
      <c r="AF50" s="57">
        <f>IFERROR(VLOOKUP(W50,'Fatores de Impacto e INMs'!$A$3:$D$32,3,0),1)</f>
        <v>0.5</v>
      </c>
      <c r="AG50" s="57" t="str">
        <f>IFERROR(VLOOKUP(W50,'Fatores de Impacto e INMs'!$A$3:$E$32,5,0),1)</f>
        <v>VP</v>
      </c>
      <c r="AH50" s="82" t="str">
        <f xml:space="preserve">
IF(OR('Dados da OS'!$D$8="Selecione o tipo da contagem",ISBLANK('Dados da OS'!$D$8),V50="INM",V50="N/A",ISBLANK(V50),ISBLANK(W50),AG50="VF"),"-",
   IF('Dados da OS'!$D$8=Parâmetros!$B$3,
      IF(OR(ISBLANK(X50),ISBLANK(Z50)),"-",
         IF(AE50="L","Baixa",IF(AE50="A","Média",IF(AE50="H","Alta","-")))),
      IF('Dados da OS'!$D$8=Parâmetros!$B$4,
         IF(OR(V50="ALI",V50="AIE"),"Baixa",IF(OR(V50="EE",V50="SE",V50="CE"),"Média","-")),
         IF(OR('Dados da OS'!$D$8=Parâmetros!$B$5,'Dados da OS'!$D$8=Parâmetros!$B$6),"-"))))</f>
        <v>Alta</v>
      </c>
      <c r="AI50" s="83">
        <f xml:space="preserve">
IF(OR(ISBLANK(V50),ISBLANK(U50),ISBLANK(W50),V50="N/A",ISBLANK('Dados da OS'!$D$8)),"",
   IF(OR('Dados da OS'!$D$8=Parâmetros!$B$3,'Dados da OS'!$D$8=Parâmetros!$B$4),
      IF(OR(AND(V50="INM",AG50&lt;&gt;"VF"),AND(AG50="VF",V50&lt;&gt;"INM")),"",
        IF(AND(V50="INM",AG50="VF"),IF(ISBLANK(AB50),"",AF50*AB50),
        IF('Dados da OS'!$D$8=Parâmetros!$B$4,
           IF(OR(V50="CE",V50="EE"),4,IF(V50="SE",5,IF(V50="ALI",7,IF(V50="AIE",5,"")))),
        IF('Dados da OS'!$D$8=Parâmetros!$B$3,
           IF(OR(ISBLANK(X50),ISBLANK(Z50)),"",
              IF(V50="ALI",IF(AE50="L",7,IF(AE50="A",10,15)),
                 IF(V50="AIE",IF(AE50="L",5,IF(AE50="A",7,10)),
                    IF(V50="SE",IF(AE50="L",4,IF(AE50="A",5,7)),
                       IF(OR(V50="EE",V50="CE"),IF(AE50="L",3,IF(AE50="A",4,6)),""))))))))),
   IF('Dados da OS'!$D$8=Parâmetros!$B$5,
      IF(OR(AND(V50="INM",AG50&lt;&gt;"VF"),AND(AG50="VF",V50&lt;&gt;"INM")),"",
         IF(V50="INM",IF(AG50="VF",AF50*AB50,""),
            IF(V50="PE",4.6,
            IF(V50="AL",7,"")))),
   IF('Dados da OS'!$D$8=Parâmetros!$B$6,
      IF(V50="ALI",35,IF(V50="AIE",15,"")),""))
    )
)</f>
        <v>6</v>
      </c>
      <c r="AJ50" s="82">
        <f t="shared" si="8"/>
        <v>3</v>
      </c>
      <c r="AK50" s="84"/>
      <c r="AL50" s="85" t="s">
        <v>21</v>
      </c>
      <c r="AM50" s="86"/>
      <c r="AN50" s="85"/>
      <c r="AO50" s="87"/>
      <c r="AP50" s="85"/>
      <c r="AQ50" s="86"/>
      <c r="AR50" s="85"/>
    </row>
    <row r="51" spans="1:44" ht="15.75" customHeight="1">
      <c r="A51" s="54" t="s">
        <v>305</v>
      </c>
      <c r="B51" s="100"/>
      <c r="C51" s="55"/>
      <c r="D51" s="55"/>
      <c r="E51" s="56"/>
      <c r="F51" s="55"/>
      <c r="G51" s="56"/>
      <c r="H51" s="55"/>
      <c r="I51" s="64"/>
      <c r="J51" s="57" t="str">
        <f t="shared" si="9"/>
        <v/>
      </c>
      <c r="K51" s="57" t="str">
        <f t="shared" si="10"/>
        <v/>
      </c>
      <c r="L51" s="57" t="str">
        <f xml:space="preserve">
IF(OR('Dados da OS'!$D$8=Parâmetros!$B$3,'Dados da OS'!$D$8=Parâmetros!$B$4),
  IF(OR(ISBLANK(D51),ISBLANK(F51)),
     IF(OR(B51="ALI",B51="AIE"),"L",IF(ISBLANK(B51),"","A")),
     IF(B51="EE",IF(F51&gt;=3,IF(D51&gt;=5,"H","A"),
     IF(F51&gt;=2,IF(D51&gt;=16,"H",IF(D51&lt;=4,"L","A")),IF(D51&lt;=15,"L","A"))),
     IF(OR(B51="SE",B51="CE"),IF(F51&gt;=4,IF(D51&gt;=6,"H","A"),IF(F51&gt;=2,IF(D51&gt;=20,"H",IF(D51&lt;=5,"L","A")),IF(D51&lt;=19,"L","A"))),
     IF(OR(B51="ALI",B51="AIE"),IF(F51&gt;=6,IF(D51&gt;=20,"H","A"),IF(F51&gt;=2,IF(D51&gt;=51,"H",IF(D51&lt;=19,"L","A")),IF(D51&lt;=50,"L","A"))))))),
IF('Dados da OS'!$D$8=Parâmetros!$B$6,"Indicativa",
IF('Dados da OS'!$D$8=Parâmetros!$B$5,"PFS","")))</f>
        <v/>
      </c>
      <c r="M51" s="57">
        <f>IFERROR(VLOOKUP(C51,'Fatores de Impacto e INMs'!$A$3:$D$32,3,0),1)</f>
        <v>1</v>
      </c>
      <c r="N51" s="57">
        <f>IFERROR(VLOOKUP(C51,'Fatores de Impacto e INMs'!$A$3:$E$32,5,0),1)</f>
        <v>1</v>
      </c>
      <c r="O51" s="63" t="str">
        <f xml:space="preserve">
IF(OR('Dados da OS'!$D$8="Selecione o tipo da contagem",ISBLANK('Dados da OS'!$D$8),B51="INM",B51="N/A",ISBLANK(B51),ISBLANK(C51),N51="VF"),"-",
   IF('Dados da OS'!$D$8=Parâmetros!$B$3,
      IF(OR(ISBLANK(D51),ISBLANK(F51)),"-",
         IF(L51="L","Baixa",IF(L51="A","Média",IF(L51="H","Alta","-")))),
      IF('Dados da OS'!$D$8=Parâmetros!$B$4,
         IF(OR(B51="ALI",B51="AIE"),"Baixa",IF(OR(B51="EE",B51="SE",B51="CE"),"Média","-")),
         IF(OR('Dados da OS'!$D$8=Parâmetros!$B$5,'Dados da OS'!$D$8=Parâmetros!$B$6),"-"))))</f>
        <v>-</v>
      </c>
      <c r="P51" s="59" t="str">
        <f xml:space="preserve">
IF(OR(ISBLANK(B51),ISBLANK(C51),B51="N/A",ISBLANK('Dados da OS'!$D$8)),"",
   IF(OR('Dados da OS'!$D$8=Parâmetros!$B$3,'Dados da OS'!$D$8=Parâmetros!$B$4),
      IF(OR(AND(B51="INM",N51&lt;&gt;"VF"),AND(N51="VF",B51&lt;&gt;"INM")),"",
        IF(AND(B51="INM",N51="VF"),IF(ISBLANK(H51),"",M51*H51),
        IF('Dados da OS'!$D$8=Parâmetros!$B$4,
           IF(OR(B51="CE",B51="EE"),4,IF(B51="SE",5,IF(B51="ALI",7,IF(B51="AIE",5,"")))),
        IF('Dados da OS'!$D$8=Parâmetros!$B$3,
           IF(OR(ISBLANK(D51),ISBLANK(F51)),"",
              IF(B51="ALI",IF(L51="L",7,IF(L51="A",10,15)),
                 IF(B51="AIE",IF(L51="L",5,IF(L51="A",7,10)),
                    IF(B51="SE",IF(L51="L",4,IF(L51="A",5,7)),
                       IF(OR(B51="EE",B51="CE"),IF(L51="L",3,IF(L51="A",4,6)),""))))))))),
   IF('Dados da OS'!$D$8=Parâmetros!$B$5,
      IF(OR(AND(B51="INM",N51&lt;&gt;"VF"),AND(N51="VF",B51&lt;&gt;"INM")),"",
         IF(B51="INM",IF(N51="VF",M51*H51,""),
            IF(B51="PE",4.6,
            IF(B51="AL",7,"")))),
   IF('Dados da OS'!$D$8=Parâmetros!$B$6,
      IF(B51="ALI",35,IF(B51="AIE",15,"")),""))
    )
)</f>
        <v/>
      </c>
      <c r="Q51" s="60" t="str">
        <f t="shared" si="5"/>
        <v/>
      </c>
      <c r="R51" s="61"/>
      <c r="S51" s="62"/>
      <c r="T51" s="80" t="s">
        <v>21</v>
      </c>
      <c r="U51" s="215"/>
      <c r="V51" s="99"/>
      <c r="W51" s="55"/>
      <c r="X51" s="55"/>
      <c r="Y51" s="56"/>
      <c r="Z51" s="55"/>
      <c r="AA51" s="56"/>
      <c r="AB51" s="55"/>
      <c r="AC51" s="57" t="str">
        <f t="shared" si="6"/>
        <v/>
      </c>
      <c r="AD51" s="57" t="str">
        <f t="shared" si="7"/>
        <v/>
      </c>
      <c r="AE51" s="57" t="str">
        <f xml:space="preserve">
IF(OR('Dados da OS'!$D$8=Parâmetros!$B$3,'Dados da OS'!$D$8=Parâmetros!$B$4),
  IF(OR(ISBLANK(X51),ISBLANK(Z51)),
     IF(OR(V51="ALI",V51="AIE"),"L",IF(ISBLANK(V51),"","A")),
     IF(V51="EE",IF(Z51&gt;=3,IF(X51&gt;=5,"H","A"),
     IF(Z51&gt;=2,IF(X51&gt;=16,"H",IF(X51&lt;=4,"L","A")),IF(X51&lt;=15,"L","A"))),
     IF(OR(V51="SE",V51="CE"),IF(Z51&gt;=4,IF(X51&gt;=6,"H","A"),IF(Z51&gt;=2,IF(X51&gt;=20,"H",IF(X51&lt;=5,"L","A")),IF(X51&lt;=19,"L","A"))),
     IF(OR(V51="ALI",V51="AIE"),IF(Z51&gt;=6,IF(X51&gt;=20,"H","A"),IF(Z51&gt;=2,IF(X51&gt;=51,"H",IF(X51&lt;=19,"L","A")),IF(X51&lt;=50,"L","A"))))))),
IF('Dados da OS'!$D$8=Parâmetros!$B$6,"Indicativa",
IF('Dados da OS'!$D$8=Parâmetros!$B$5,"PFS","")))</f>
        <v/>
      </c>
      <c r="AF51" s="57">
        <f>IFERROR(VLOOKUP(W51,'Fatores de Impacto e INMs'!$A$3:$D$32,3,0),1)</f>
        <v>1</v>
      </c>
      <c r="AG51" s="57">
        <f>IFERROR(VLOOKUP(W51,'Fatores de Impacto e INMs'!$A$3:$E$32,5,0),1)</f>
        <v>1</v>
      </c>
      <c r="AH51" s="82" t="str">
        <f xml:space="preserve">
IF(OR('Dados da OS'!$D$8="Selecione o tipo da contagem",ISBLANK('Dados da OS'!$D$8),V51="INM",V51="N/A",ISBLANK(V51),ISBLANK(W51),AG51="VF"),"-",
   IF('Dados da OS'!$D$8=Parâmetros!$B$3,
      IF(OR(ISBLANK(X51),ISBLANK(Z51)),"-",
         IF(AE51="L","Baixa",IF(AE51="A","Média",IF(AE51="H","Alta","-")))),
      IF('Dados da OS'!$D$8=Parâmetros!$B$4,
         IF(OR(V51="ALI",V51="AIE"),"Baixa",IF(OR(V51="EE",V51="SE",V51="CE"),"Média","-")),
         IF(OR('Dados da OS'!$D$8=Parâmetros!$B$5,'Dados da OS'!$D$8=Parâmetros!$B$6),"-"))))</f>
        <v>-</v>
      </c>
      <c r="AI51" s="83" t="str">
        <f xml:space="preserve">
IF(OR(ISBLANK(V51),ISBLANK(U51),ISBLANK(W51),V51="N/A",ISBLANK('Dados da OS'!$D$8)),"",
   IF(OR('Dados da OS'!$D$8=Parâmetros!$B$3,'Dados da OS'!$D$8=Parâmetros!$B$4),
      IF(OR(AND(V51="INM",AG51&lt;&gt;"VF"),AND(AG51="VF",V51&lt;&gt;"INM")),"",
        IF(AND(V51="INM",AG51="VF"),IF(ISBLANK(AB51),"",AF51*AB51),
        IF('Dados da OS'!$D$8=Parâmetros!$B$4,
           IF(OR(V51="CE",V51="EE"),4,IF(V51="SE",5,IF(V51="ALI",7,IF(V51="AIE",5,"")))),
        IF('Dados da OS'!$D$8=Parâmetros!$B$3,
           IF(OR(ISBLANK(X51),ISBLANK(Z51)),"",
              IF(V51="ALI",IF(AE51="L",7,IF(AE51="A",10,15)),
                 IF(V51="AIE",IF(AE51="L",5,IF(AE51="A",7,10)),
                    IF(V51="SE",IF(AE51="L",4,IF(AE51="A",5,7)),
                       IF(OR(V51="EE",V51="CE"),IF(AE51="L",3,IF(AE51="A",4,6)),""))))))))),
   IF('Dados da OS'!$D$8=Parâmetros!$B$5,
      IF(OR(AND(V51="INM",AG51&lt;&gt;"VF"),AND(AG51="VF",V51&lt;&gt;"INM")),"",
         IF(V51="INM",IF(AG51="VF",AF51*AB51,""),
            IF(V51="PE",4.6,
            IF(V51="AL",7,"")))),
   IF('Dados da OS'!$D$8=Parâmetros!$B$6,
      IF(V51="ALI",35,IF(V51="AIE",15,"")),""))
    )
)</f>
        <v/>
      </c>
      <c r="AJ51" s="82" t="str">
        <f t="shared" si="8"/>
        <v/>
      </c>
      <c r="AK51" s="84"/>
      <c r="AL51" s="85" t="s">
        <v>21</v>
      </c>
      <c r="AM51" s="86"/>
      <c r="AN51" s="85"/>
      <c r="AO51" s="87"/>
      <c r="AP51" s="85"/>
      <c r="AQ51" s="86"/>
      <c r="AR51" s="85"/>
    </row>
    <row r="52" spans="1:44" ht="15.75" customHeight="1">
      <c r="A52" s="54" t="s">
        <v>306</v>
      </c>
      <c r="B52" s="100" t="s">
        <v>121</v>
      </c>
      <c r="C52" s="55" t="s">
        <v>56</v>
      </c>
      <c r="D52" s="55">
        <v>7</v>
      </c>
      <c r="E52" s="56" t="s">
        <v>307</v>
      </c>
      <c r="F52" s="55">
        <v>2</v>
      </c>
      <c r="G52" s="56" t="s">
        <v>308</v>
      </c>
      <c r="H52" s="55"/>
      <c r="I52" s="64"/>
      <c r="J52" s="57" t="str">
        <f t="shared" ref="J52:J115" si="11">CONCATENATE(B52,L52)</f>
        <v>EEA</v>
      </c>
      <c r="K52" s="57" t="str">
        <f t="shared" ref="K52:K115" si="12">CONCATENATE(B52,C52,L52,Q52)</f>
        <v>EEA50A2</v>
      </c>
      <c r="L52" s="57" t="str">
        <f xml:space="preserve">
IF(OR('Dados da OS'!$D$8=Parâmetros!$B$3,'Dados da OS'!$D$8=Parâmetros!$B$4),
  IF(OR(ISBLANK(D52),ISBLANK(F52)),
     IF(OR(B52="ALI",B52="AIE"),"L",IF(ISBLANK(B52),"","A")),
     IF(B52="EE",IF(F52&gt;=3,IF(D52&gt;=5,"H","A"),
     IF(F52&gt;=2,IF(D52&gt;=16,"H",IF(D52&lt;=4,"L","A")),IF(D52&lt;=15,"L","A"))),
     IF(OR(B52="SE",B52="CE"),IF(F52&gt;=4,IF(D52&gt;=6,"H","A"),IF(F52&gt;=2,IF(D52&gt;=20,"H",IF(D52&lt;=5,"L","A")),IF(D52&lt;=19,"L","A"))),
     IF(OR(B52="ALI",B52="AIE"),IF(F52&gt;=6,IF(D52&gt;=20,"H","A"),IF(F52&gt;=2,IF(D52&gt;=51,"H",IF(D52&lt;=19,"L","A")),IF(D52&lt;=50,"L","A"))))))),
IF('Dados da OS'!$D$8=Parâmetros!$B$6,"Indicativa",
IF('Dados da OS'!$D$8=Parâmetros!$B$5,"PFS","")))</f>
        <v>A</v>
      </c>
      <c r="M52" s="57">
        <f>IFERROR(VLOOKUP(C52,'Fatores de Impacto e INMs'!$A$3:$D$32,3,0),1)</f>
        <v>0.5</v>
      </c>
      <c r="N52" s="57" t="str">
        <f>IFERROR(VLOOKUP(C52,'Fatores de Impacto e INMs'!$A$3:$E$32,5,0),1)</f>
        <v>VP</v>
      </c>
      <c r="O52" s="63" t="str">
        <f xml:space="preserve">
IF(OR('Dados da OS'!$D$8="Selecione o tipo da contagem",ISBLANK('Dados da OS'!$D$8),B52="INM",B52="N/A",ISBLANK(B52),ISBLANK(C52),N52="VF"),"-",
   IF('Dados da OS'!$D$8=Parâmetros!$B$3,
      IF(OR(ISBLANK(D52),ISBLANK(F52)),"-",
         IF(L52="L","Baixa",IF(L52="A","Média",IF(L52="H","Alta","-")))),
      IF('Dados da OS'!$D$8=Parâmetros!$B$4,
         IF(OR(B52="ALI",B52="AIE"),"Baixa",IF(OR(B52="EE",B52="SE",B52="CE"),"Média","-")),
         IF(OR('Dados da OS'!$D$8=Parâmetros!$B$5,'Dados da OS'!$D$8=Parâmetros!$B$6),"-"))))</f>
        <v>Média</v>
      </c>
      <c r="P52" s="59">
        <f xml:space="preserve">
IF(OR(ISBLANK(B52),ISBLANK(C52),B52="N/A",ISBLANK('Dados da OS'!$D$8)),"",
   IF(OR('Dados da OS'!$D$8=Parâmetros!$B$3,'Dados da OS'!$D$8=Parâmetros!$B$4),
      IF(OR(AND(B52="INM",N52&lt;&gt;"VF"),AND(N52="VF",B52&lt;&gt;"INM")),"",
        IF(AND(B52="INM",N52="VF"),IF(ISBLANK(H52),"",M52*H52),
        IF('Dados da OS'!$D$8=Parâmetros!$B$4,
           IF(OR(B52="CE",B52="EE"),4,IF(B52="SE",5,IF(B52="ALI",7,IF(B52="AIE",5,"")))),
        IF('Dados da OS'!$D$8=Parâmetros!$B$3,
           IF(OR(ISBLANK(D52),ISBLANK(F52)),"",
              IF(B52="ALI",IF(L52="L",7,IF(L52="A",10,15)),
                 IF(B52="AIE",IF(L52="L",5,IF(L52="A",7,10)),
                    IF(B52="SE",IF(L52="L",4,IF(L52="A",5,7)),
                       IF(OR(B52="EE",B52="CE"),IF(L52="L",3,IF(L52="A",4,6)),""))))))))),
   IF('Dados da OS'!$D$8=Parâmetros!$B$5,
      IF(OR(AND(B52="INM",N52&lt;&gt;"VF"),AND(N52="VF",B52&lt;&gt;"INM")),"",
         IF(B52="INM",IF(N52="VF",M52*H52,""),
            IF(B52="PE",4.6,
            IF(B52="AL",7,"")))),
   IF('Dados da OS'!$D$8=Parâmetros!$B$6,
      IF(B52="ALI",35,IF(B52="AIE",15,"")),""))
    )
)</f>
        <v>4</v>
      </c>
      <c r="Q52" s="60">
        <f t="shared" si="5"/>
        <v>2</v>
      </c>
      <c r="R52" s="61"/>
      <c r="S52" s="62" t="s">
        <v>335</v>
      </c>
      <c r="T52" s="80" t="s">
        <v>21</v>
      </c>
      <c r="U52" s="215" t="s">
        <v>214</v>
      </c>
      <c r="V52" s="99" t="s">
        <v>121</v>
      </c>
      <c r="W52" s="55" t="s">
        <v>56</v>
      </c>
      <c r="X52" s="55">
        <v>7</v>
      </c>
      <c r="Y52" s="56" t="s">
        <v>307</v>
      </c>
      <c r="Z52" s="55">
        <v>2</v>
      </c>
      <c r="AA52" s="56" t="s">
        <v>308</v>
      </c>
      <c r="AB52" s="55"/>
      <c r="AC52" s="57" t="str">
        <f t="shared" si="6"/>
        <v>EEA</v>
      </c>
      <c r="AD52" s="57" t="str">
        <f t="shared" si="7"/>
        <v>EEA50A2</v>
      </c>
      <c r="AE52" s="57" t="str">
        <f xml:space="preserve">
IF(OR('Dados da OS'!$D$8=Parâmetros!$B$3,'Dados da OS'!$D$8=Parâmetros!$B$4),
  IF(OR(ISBLANK(X52),ISBLANK(Z52)),
     IF(OR(V52="ALI",V52="AIE"),"L",IF(ISBLANK(V52),"","A")),
     IF(V52="EE",IF(Z52&gt;=3,IF(X52&gt;=5,"H","A"),
     IF(Z52&gt;=2,IF(X52&gt;=16,"H",IF(X52&lt;=4,"L","A")),IF(X52&lt;=15,"L","A"))),
     IF(OR(V52="SE",V52="CE"),IF(Z52&gt;=4,IF(X52&gt;=6,"H","A"),IF(Z52&gt;=2,IF(X52&gt;=20,"H",IF(X52&lt;=5,"L","A")),IF(X52&lt;=19,"L","A"))),
     IF(OR(V52="ALI",V52="AIE"),IF(Z52&gt;=6,IF(X52&gt;=20,"H","A"),IF(Z52&gt;=2,IF(X52&gt;=51,"H",IF(X52&lt;=19,"L","A")),IF(X52&lt;=50,"L","A"))))))),
IF('Dados da OS'!$D$8=Parâmetros!$B$6,"Indicativa",
IF('Dados da OS'!$D$8=Parâmetros!$B$5,"PFS","")))</f>
        <v>A</v>
      </c>
      <c r="AF52" s="57">
        <f>IFERROR(VLOOKUP(W52,'Fatores de Impacto e INMs'!$A$3:$D$32,3,0),1)</f>
        <v>0.5</v>
      </c>
      <c r="AG52" s="57" t="str">
        <f>IFERROR(VLOOKUP(W52,'Fatores de Impacto e INMs'!$A$3:$E$32,5,0),1)</f>
        <v>VP</v>
      </c>
      <c r="AH52" s="82" t="str">
        <f xml:space="preserve">
IF(OR('Dados da OS'!$D$8="Selecione o tipo da contagem",ISBLANK('Dados da OS'!$D$8),V52="INM",V52="N/A",ISBLANK(V52),ISBLANK(W52),AG52="VF"),"-",
   IF('Dados da OS'!$D$8=Parâmetros!$B$3,
      IF(OR(ISBLANK(X52),ISBLANK(Z52)),"-",
         IF(AE52="L","Baixa",IF(AE52="A","Média",IF(AE52="H","Alta","-")))),
      IF('Dados da OS'!$D$8=Parâmetros!$B$4,
         IF(OR(V52="ALI",V52="AIE"),"Baixa",IF(OR(V52="EE",V52="SE",V52="CE"),"Média","-")),
         IF(OR('Dados da OS'!$D$8=Parâmetros!$B$5,'Dados da OS'!$D$8=Parâmetros!$B$6),"-"))))</f>
        <v>Média</v>
      </c>
      <c r="AI52" s="83">
        <f xml:space="preserve">
IF(OR(ISBLANK(V52),ISBLANK(U52),ISBLANK(W52),V52="N/A",ISBLANK('Dados da OS'!$D$8)),"",
   IF(OR('Dados da OS'!$D$8=Parâmetros!$B$3,'Dados da OS'!$D$8=Parâmetros!$B$4),
      IF(OR(AND(V52="INM",AG52&lt;&gt;"VF"),AND(AG52="VF",V52&lt;&gt;"INM")),"",
        IF(AND(V52="INM",AG52="VF"),IF(ISBLANK(AB52),"",AF52*AB52),
        IF('Dados da OS'!$D$8=Parâmetros!$B$4,
           IF(OR(V52="CE",V52="EE"),4,IF(V52="SE",5,IF(V52="ALI",7,IF(V52="AIE",5,"")))),
        IF('Dados da OS'!$D$8=Parâmetros!$B$3,
           IF(OR(ISBLANK(X52),ISBLANK(Z52)),"",
              IF(V52="ALI",IF(AE52="L",7,IF(AE52="A",10,15)),
                 IF(V52="AIE",IF(AE52="L",5,IF(AE52="A",7,10)),
                    IF(V52="SE",IF(AE52="L",4,IF(AE52="A",5,7)),
                       IF(OR(V52="EE",V52="CE"),IF(AE52="L",3,IF(AE52="A",4,6)),""))))))))),
   IF('Dados da OS'!$D$8=Parâmetros!$B$5,
      IF(OR(AND(V52="INM",AG52&lt;&gt;"VF"),AND(AG52="VF",V52&lt;&gt;"INM")),"",
         IF(V52="INM",IF(AG52="VF",AF52*AB52,""),
            IF(V52="PE",4.6,
            IF(V52="AL",7,"")))),
   IF('Dados da OS'!$D$8=Parâmetros!$B$6,
      IF(V52="ALI",35,IF(V52="AIE",15,"")),""))
    )
)</f>
        <v>4</v>
      </c>
      <c r="AJ52" s="82">
        <f t="shared" si="8"/>
        <v>2</v>
      </c>
      <c r="AK52" s="84"/>
      <c r="AL52" s="85" t="s">
        <v>21</v>
      </c>
      <c r="AM52" s="86"/>
      <c r="AN52" s="85"/>
      <c r="AO52" s="87"/>
      <c r="AP52" s="85"/>
      <c r="AQ52" s="86"/>
      <c r="AR52" s="85"/>
    </row>
    <row r="53" spans="1:44" ht="15.75" customHeight="1">
      <c r="A53" s="54" t="s">
        <v>309</v>
      </c>
      <c r="B53" s="100"/>
      <c r="C53" s="55"/>
      <c r="D53" s="55"/>
      <c r="E53" s="56"/>
      <c r="F53" s="55"/>
      <c r="G53" s="56"/>
      <c r="H53" s="55"/>
      <c r="I53" s="64"/>
      <c r="J53" s="57" t="str">
        <f t="shared" si="11"/>
        <v/>
      </c>
      <c r="K53" s="57" t="str">
        <f t="shared" si="12"/>
        <v/>
      </c>
      <c r="L53" s="57" t="str">
        <f xml:space="preserve">
IF(OR('Dados da OS'!$D$8=Parâmetros!$B$3,'Dados da OS'!$D$8=Parâmetros!$B$4),
  IF(OR(ISBLANK(D53),ISBLANK(F53)),
     IF(OR(B53="ALI",B53="AIE"),"L",IF(ISBLANK(B53),"","A")),
     IF(B53="EE",IF(F53&gt;=3,IF(D53&gt;=5,"H","A"),
     IF(F53&gt;=2,IF(D53&gt;=16,"H",IF(D53&lt;=4,"L","A")),IF(D53&lt;=15,"L","A"))),
     IF(OR(B53="SE",B53="CE"),IF(F53&gt;=4,IF(D53&gt;=6,"H","A"),IF(F53&gt;=2,IF(D53&gt;=20,"H",IF(D53&lt;=5,"L","A")),IF(D53&lt;=19,"L","A"))),
     IF(OR(B53="ALI",B53="AIE"),IF(F53&gt;=6,IF(D53&gt;=20,"H","A"),IF(F53&gt;=2,IF(D53&gt;=51,"H",IF(D53&lt;=19,"L","A")),IF(D53&lt;=50,"L","A"))))))),
IF('Dados da OS'!$D$8=Parâmetros!$B$6,"Indicativa",
IF('Dados da OS'!$D$8=Parâmetros!$B$5,"PFS","")))</f>
        <v/>
      </c>
      <c r="M53" s="57">
        <f>IFERROR(VLOOKUP(C53,'Fatores de Impacto e INMs'!$A$3:$D$32,3,0),1)</f>
        <v>1</v>
      </c>
      <c r="N53" s="57">
        <f>IFERROR(VLOOKUP(C53,'Fatores de Impacto e INMs'!$A$3:$E$32,5,0),1)</f>
        <v>1</v>
      </c>
      <c r="O53" s="63" t="str">
        <f xml:space="preserve">
IF(OR('Dados da OS'!$D$8="Selecione o tipo da contagem",ISBLANK('Dados da OS'!$D$8),B53="INM",B53="N/A",ISBLANK(B53),ISBLANK(C53),N53="VF"),"-",
   IF('Dados da OS'!$D$8=Parâmetros!$B$3,
      IF(OR(ISBLANK(D53),ISBLANK(F53)),"-",
         IF(L53="L","Baixa",IF(L53="A","Média",IF(L53="H","Alta","-")))),
      IF('Dados da OS'!$D$8=Parâmetros!$B$4,
         IF(OR(B53="ALI",B53="AIE"),"Baixa",IF(OR(B53="EE",B53="SE",B53="CE"),"Média","-")),
         IF(OR('Dados da OS'!$D$8=Parâmetros!$B$5,'Dados da OS'!$D$8=Parâmetros!$B$6),"-"))))</f>
        <v>-</v>
      </c>
      <c r="P53" s="59" t="str">
        <f xml:space="preserve">
IF(OR(ISBLANK(B53),ISBLANK(C53),B53="N/A",ISBLANK('Dados da OS'!$D$8)),"",
   IF(OR('Dados da OS'!$D$8=Parâmetros!$B$3,'Dados da OS'!$D$8=Parâmetros!$B$4),
      IF(OR(AND(B53="INM",N53&lt;&gt;"VF"),AND(N53="VF",B53&lt;&gt;"INM")),"",
        IF(AND(B53="INM",N53="VF"),IF(ISBLANK(H53),"",M53*H53),
        IF('Dados da OS'!$D$8=Parâmetros!$B$4,
           IF(OR(B53="CE",B53="EE"),4,IF(B53="SE",5,IF(B53="ALI",7,IF(B53="AIE",5,"")))),
        IF('Dados da OS'!$D$8=Parâmetros!$B$3,
           IF(OR(ISBLANK(D53),ISBLANK(F53)),"",
              IF(B53="ALI",IF(L53="L",7,IF(L53="A",10,15)),
                 IF(B53="AIE",IF(L53="L",5,IF(L53="A",7,10)),
                    IF(B53="SE",IF(L53="L",4,IF(L53="A",5,7)),
                       IF(OR(B53="EE",B53="CE"),IF(L53="L",3,IF(L53="A",4,6)),""))))))))),
   IF('Dados da OS'!$D$8=Parâmetros!$B$5,
      IF(OR(AND(B53="INM",N53&lt;&gt;"VF"),AND(N53="VF",B53&lt;&gt;"INM")),"",
         IF(B53="INM",IF(N53="VF",M53*H53,""),
            IF(B53="PE",4.6,
            IF(B53="AL",7,"")))),
   IF('Dados da OS'!$D$8=Parâmetros!$B$6,
      IF(B53="ALI",35,IF(B53="AIE",15,"")),""))
    )
)</f>
        <v/>
      </c>
      <c r="Q53" s="60" t="str">
        <f t="shared" si="5"/>
        <v/>
      </c>
      <c r="R53" s="61"/>
      <c r="S53" s="62"/>
      <c r="T53" s="80" t="s">
        <v>21</v>
      </c>
      <c r="U53" s="215"/>
      <c r="V53" s="99"/>
      <c r="W53" s="55"/>
      <c r="X53" s="55"/>
      <c r="Y53" s="56"/>
      <c r="Z53" s="55"/>
      <c r="AA53" s="56"/>
      <c r="AB53" s="55"/>
      <c r="AC53" s="57" t="str">
        <f t="shared" si="6"/>
        <v/>
      </c>
      <c r="AD53" s="57" t="str">
        <f t="shared" si="7"/>
        <v/>
      </c>
      <c r="AE53" s="57" t="str">
        <f xml:space="preserve">
IF(OR('Dados da OS'!$D$8=Parâmetros!$B$3,'Dados da OS'!$D$8=Parâmetros!$B$4),
  IF(OR(ISBLANK(X53),ISBLANK(Z53)),
     IF(OR(V53="ALI",V53="AIE"),"L",IF(ISBLANK(V53),"","A")),
     IF(V53="EE",IF(Z53&gt;=3,IF(X53&gt;=5,"H","A"),
     IF(Z53&gt;=2,IF(X53&gt;=16,"H",IF(X53&lt;=4,"L","A")),IF(X53&lt;=15,"L","A"))),
     IF(OR(V53="SE",V53="CE"),IF(Z53&gt;=4,IF(X53&gt;=6,"H","A"),IF(Z53&gt;=2,IF(X53&gt;=20,"H",IF(X53&lt;=5,"L","A")),IF(X53&lt;=19,"L","A"))),
     IF(OR(V53="ALI",V53="AIE"),IF(Z53&gt;=6,IF(X53&gt;=20,"H","A"),IF(Z53&gt;=2,IF(X53&gt;=51,"H",IF(X53&lt;=19,"L","A")),IF(X53&lt;=50,"L","A"))))))),
IF('Dados da OS'!$D$8=Parâmetros!$B$6,"Indicativa",
IF('Dados da OS'!$D$8=Parâmetros!$B$5,"PFS","")))</f>
        <v/>
      </c>
      <c r="AF53" s="57">
        <f>IFERROR(VLOOKUP(W53,'Fatores de Impacto e INMs'!$A$3:$D$32,3,0),1)</f>
        <v>1</v>
      </c>
      <c r="AG53" s="57">
        <f>IFERROR(VLOOKUP(W53,'Fatores de Impacto e INMs'!$A$3:$E$32,5,0),1)</f>
        <v>1</v>
      </c>
      <c r="AH53" s="82" t="str">
        <f xml:space="preserve">
IF(OR('Dados da OS'!$D$8="Selecione o tipo da contagem",ISBLANK('Dados da OS'!$D$8),V53="INM",V53="N/A",ISBLANK(V53),ISBLANK(W53),AG53="VF"),"-",
   IF('Dados da OS'!$D$8=Parâmetros!$B$3,
      IF(OR(ISBLANK(X53),ISBLANK(Z53)),"-",
         IF(AE53="L","Baixa",IF(AE53="A","Média",IF(AE53="H","Alta","-")))),
      IF('Dados da OS'!$D$8=Parâmetros!$B$4,
         IF(OR(V53="ALI",V53="AIE"),"Baixa",IF(OR(V53="EE",V53="SE",V53="CE"),"Média","-")),
         IF(OR('Dados da OS'!$D$8=Parâmetros!$B$5,'Dados da OS'!$D$8=Parâmetros!$B$6),"-"))))</f>
        <v>-</v>
      </c>
      <c r="AI53" s="83" t="str">
        <f xml:space="preserve">
IF(OR(ISBLANK(V53),ISBLANK(U53),ISBLANK(W53),V53="N/A",ISBLANK('Dados da OS'!$D$8)),"",
   IF(OR('Dados da OS'!$D$8=Parâmetros!$B$3,'Dados da OS'!$D$8=Parâmetros!$B$4),
      IF(OR(AND(V53="INM",AG53&lt;&gt;"VF"),AND(AG53="VF",V53&lt;&gt;"INM")),"",
        IF(AND(V53="INM",AG53="VF"),IF(ISBLANK(AB53),"",AF53*AB53),
        IF('Dados da OS'!$D$8=Parâmetros!$B$4,
           IF(OR(V53="CE",V53="EE"),4,IF(V53="SE",5,IF(V53="ALI",7,IF(V53="AIE",5,"")))),
        IF('Dados da OS'!$D$8=Parâmetros!$B$3,
           IF(OR(ISBLANK(X53),ISBLANK(Z53)),"",
              IF(V53="ALI",IF(AE53="L",7,IF(AE53="A",10,15)),
                 IF(V53="AIE",IF(AE53="L",5,IF(AE53="A",7,10)),
                    IF(V53="SE",IF(AE53="L",4,IF(AE53="A",5,7)),
                       IF(OR(V53="EE",V53="CE"),IF(AE53="L",3,IF(AE53="A",4,6)),""))))))))),
   IF('Dados da OS'!$D$8=Parâmetros!$B$5,
      IF(OR(AND(V53="INM",AG53&lt;&gt;"VF"),AND(AG53="VF",V53&lt;&gt;"INM")),"",
         IF(V53="INM",IF(AG53="VF",AF53*AB53,""),
            IF(V53="PE",4.6,
            IF(V53="AL",7,"")))),
   IF('Dados da OS'!$D$8=Parâmetros!$B$6,
      IF(V53="ALI",35,IF(V53="AIE",15,"")),""))
    )
)</f>
        <v/>
      </c>
      <c r="AJ53" s="82" t="str">
        <f t="shared" si="8"/>
        <v/>
      </c>
      <c r="AK53" s="84"/>
      <c r="AL53" s="85" t="s">
        <v>21</v>
      </c>
      <c r="AM53" s="86"/>
      <c r="AN53" s="85"/>
      <c r="AO53" s="87"/>
      <c r="AP53" s="85"/>
      <c r="AQ53" s="86"/>
      <c r="AR53" s="85"/>
    </row>
    <row r="54" spans="1:44" ht="15.75" customHeight="1">
      <c r="A54" s="54" t="s">
        <v>310</v>
      </c>
      <c r="B54" s="100" t="s">
        <v>121</v>
      </c>
      <c r="C54" s="55" t="s">
        <v>56</v>
      </c>
      <c r="D54" s="55">
        <v>38</v>
      </c>
      <c r="E54" s="56" t="s">
        <v>311</v>
      </c>
      <c r="F54" s="55">
        <v>2</v>
      </c>
      <c r="G54" s="56" t="s">
        <v>312</v>
      </c>
      <c r="H54" s="55"/>
      <c r="I54" s="64"/>
      <c r="J54" s="57" t="str">
        <f t="shared" si="11"/>
        <v>EEH</v>
      </c>
      <c r="K54" s="57" t="str">
        <f t="shared" si="12"/>
        <v>EEA50H3</v>
      </c>
      <c r="L54" s="57" t="str">
        <f xml:space="preserve">
IF(OR('Dados da OS'!$D$8=Parâmetros!$B$3,'Dados da OS'!$D$8=Parâmetros!$B$4),
  IF(OR(ISBLANK(D54),ISBLANK(F54)),
     IF(OR(B54="ALI",B54="AIE"),"L",IF(ISBLANK(B54),"","A")),
     IF(B54="EE",IF(F54&gt;=3,IF(D54&gt;=5,"H","A"),
     IF(F54&gt;=2,IF(D54&gt;=16,"H",IF(D54&lt;=4,"L","A")),IF(D54&lt;=15,"L","A"))),
     IF(OR(B54="SE",B54="CE"),IF(F54&gt;=4,IF(D54&gt;=6,"H","A"),IF(F54&gt;=2,IF(D54&gt;=20,"H",IF(D54&lt;=5,"L","A")),IF(D54&lt;=19,"L","A"))),
     IF(OR(B54="ALI",B54="AIE"),IF(F54&gt;=6,IF(D54&gt;=20,"H","A"),IF(F54&gt;=2,IF(D54&gt;=51,"H",IF(D54&lt;=19,"L","A")),IF(D54&lt;=50,"L","A"))))))),
IF('Dados da OS'!$D$8=Parâmetros!$B$6,"Indicativa",
IF('Dados da OS'!$D$8=Parâmetros!$B$5,"PFS","")))</f>
        <v>H</v>
      </c>
      <c r="M54" s="57">
        <f>IFERROR(VLOOKUP(C54,'Fatores de Impacto e INMs'!$A$3:$D$32,3,0),1)</f>
        <v>0.5</v>
      </c>
      <c r="N54" s="57" t="str">
        <f>IFERROR(VLOOKUP(C54,'Fatores de Impacto e INMs'!$A$3:$E$32,5,0),1)</f>
        <v>VP</v>
      </c>
      <c r="O54" s="63" t="str">
        <f xml:space="preserve">
IF(OR('Dados da OS'!$D$8="Selecione o tipo da contagem",ISBLANK('Dados da OS'!$D$8),B54="INM",B54="N/A",ISBLANK(B54),ISBLANK(C54),N54="VF"),"-",
   IF('Dados da OS'!$D$8=Parâmetros!$B$3,
      IF(OR(ISBLANK(D54),ISBLANK(F54)),"-",
         IF(L54="L","Baixa",IF(L54="A","Média",IF(L54="H","Alta","-")))),
      IF('Dados da OS'!$D$8=Parâmetros!$B$4,
         IF(OR(B54="ALI",B54="AIE"),"Baixa",IF(OR(B54="EE",B54="SE",B54="CE"),"Média","-")),
         IF(OR('Dados da OS'!$D$8=Parâmetros!$B$5,'Dados da OS'!$D$8=Parâmetros!$B$6),"-"))))</f>
        <v>Alta</v>
      </c>
      <c r="P54" s="59">
        <f xml:space="preserve">
IF(OR(ISBLANK(B54),ISBLANK(C54),B54="N/A",ISBLANK('Dados da OS'!$D$8)),"",
   IF(OR('Dados da OS'!$D$8=Parâmetros!$B$3,'Dados da OS'!$D$8=Parâmetros!$B$4),
      IF(OR(AND(B54="INM",N54&lt;&gt;"VF"),AND(N54="VF",B54&lt;&gt;"INM")),"",
        IF(AND(B54="INM",N54="VF"),IF(ISBLANK(H54),"",M54*H54),
        IF('Dados da OS'!$D$8=Parâmetros!$B$4,
           IF(OR(B54="CE",B54="EE"),4,IF(B54="SE",5,IF(B54="ALI",7,IF(B54="AIE",5,"")))),
        IF('Dados da OS'!$D$8=Parâmetros!$B$3,
           IF(OR(ISBLANK(D54),ISBLANK(F54)),"",
              IF(B54="ALI",IF(L54="L",7,IF(L54="A",10,15)),
                 IF(B54="AIE",IF(L54="L",5,IF(L54="A",7,10)),
                    IF(B54="SE",IF(L54="L",4,IF(L54="A",5,7)),
                       IF(OR(B54="EE",B54="CE"),IF(L54="L",3,IF(L54="A",4,6)),""))))))))),
   IF('Dados da OS'!$D$8=Parâmetros!$B$5,
      IF(OR(AND(B54="INM",N54&lt;&gt;"VF"),AND(N54="VF",B54&lt;&gt;"INM")),"",
         IF(B54="INM",IF(N54="VF",M54*H54,""),
            IF(B54="PE",4.6,
            IF(B54="AL",7,"")))),
   IF('Dados da OS'!$D$8=Parâmetros!$B$6,
      IF(B54="ALI",35,IF(B54="AIE",15,"")),""))
    )
)</f>
        <v>6</v>
      </c>
      <c r="Q54" s="60">
        <f t="shared" si="5"/>
        <v>3</v>
      </c>
      <c r="R54" s="61"/>
      <c r="S54" s="62" t="s">
        <v>336</v>
      </c>
      <c r="T54" s="80" t="s">
        <v>21</v>
      </c>
      <c r="U54" s="215" t="s">
        <v>214</v>
      </c>
      <c r="V54" s="99" t="s">
        <v>121</v>
      </c>
      <c r="W54" s="55" t="s">
        <v>56</v>
      </c>
      <c r="X54" s="55">
        <v>38</v>
      </c>
      <c r="Y54" s="56" t="s">
        <v>311</v>
      </c>
      <c r="Z54" s="55">
        <v>2</v>
      </c>
      <c r="AA54" s="56" t="s">
        <v>312</v>
      </c>
      <c r="AB54" s="55"/>
      <c r="AC54" s="57" t="str">
        <f t="shared" si="6"/>
        <v>EEH</v>
      </c>
      <c r="AD54" s="57" t="str">
        <f t="shared" si="7"/>
        <v>EEA50H3</v>
      </c>
      <c r="AE54" s="57" t="str">
        <f xml:space="preserve">
IF(OR('Dados da OS'!$D$8=Parâmetros!$B$3,'Dados da OS'!$D$8=Parâmetros!$B$4),
  IF(OR(ISBLANK(X54),ISBLANK(Z54)),
     IF(OR(V54="ALI",V54="AIE"),"L",IF(ISBLANK(V54),"","A")),
     IF(V54="EE",IF(Z54&gt;=3,IF(X54&gt;=5,"H","A"),
     IF(Z54&gt;=2,IF(X54&gt;=16,"H",IF(X54&lt;=4,"L","A")),IF(X54&lt;=15,"L","A"))),
     IF(OR(V54="SE",V54="CE"),IF(Z54&gt;=4,IF(X54&gt;=6,"H","A"),IF(Z54&gt;=2,IF(X54&gt;=20,"H",IF(X54&lt;=5,"L","A")),IF(X54&lt;=19,"L","A"))),
     IF(OR(V54="ALI",V54="AIE"),IF(Z54&gt;=6,IF(X54&gt;=20,"H","A"),IF(Z54&gt;=2,IF(X54&gt;=51,"H",IF(X54&lt;=19,"L","A")),IF(X54&lt;=50,"L","A"))))))),
IF('Dados da OS'!$D$8=Parâmetros!$B$6,"Indicativa",
IF('Dados da OS'!$D$8=Parâmetros!$B$5,"PFS","")))</f>
        <v>H</v>
      </c>
      <c r="AF54" s="57">
        <f>IFERROR(VLOOKUP(W54,'Fatores de Impacto e INMs'!$A$3:$D$32,3,0),1)</f>
        <v>0.5</v>
      </c>
      <c r="AG54" s="57" t="str">
        <f>IFERROR(VLOOKUP(W54,'Fatores de Impacto e INMs'!$A$3:$E$32,5,0),1)</f>
        <v>VP</v>
      </c>
      <c r="AH54" s="82" t="str">
        <f xml:space="preserve">
IF(OR('Dados da OS'!$D$8="Selecione o tipo da contagem",ISBLANK('Dados da OS'!$D$8),V54="INM",V54="N/A",ISBLANK(V54),ISBLANK(W54),AG54="VF"),"-",
   IF('Dados da OS'!$D$8=Parâmetros!$B$3,
      IF(OR(ISBLANK(X54),ISBLANK(Z54)),"-",
         IF(AE54="L","Baixa",IF(AE54="A","Média",IF(AE54="H","Alta","-")))),
      IF('Dados da OS'!$D$8=Parâmetros!$B$4,
         IF(OR(V54="ALI",V54="AIE"),"Baixa",IF(OR(V54="EE",V54="SE",V54="CE"),"Média","-")),
         IF(OR('Dados da OS'!$D$8=Parâmetros!$B$5,'Dados da OS'!$D$8=Parâmetros!$B$6),"-"))))</f>
        <v>Alta</v>
      </c>
      <c r="AI54" s="83">
        <f xml:space="preserve">
IF(OR(ISBLANK(V54),ISBLANK(U54),ISBLANK(W54),V54="N/A",ISBLANK('Dados da OS'!$D$8)),"",
   IF(OR('Dados da OS'!$D$8=Parâmetros!$B$3,'Dados da OS'!$D$8=Parâmetros!$B$4),
      IF(OR(AND(V54="INM",AG54&lt;&gt;"VF"),AND(AG54="VF",V54&lt;&gt;"INM")),"",
        IF(AND(V54="INM",AG54="VF"),IF(ISBLANK(AB54),"",AF54*AB54),
        IF('Dados da OS'!$D$8=Parâmetros!$B$4,
           IF(OR(V54="CE",V54="EE"),4,IF(V54="SE",5,IF(V54="ALI",7,IF(V54="AIE",5,"")))),
        IF('Dados da OS'!$D$8=Parâmetros!$B$3,
           IF(OR(ISBLANK(X54),ISBLANK(Z54)),"",
              IF(V54="ALI",IF(AE54="L",7,IF(AE54="A",10,15)),
                 IF(V54="AIE",IF(AE54="L",5,IF(AE54="A",7,10)),
                    IF(V54="SE",IF(AE54="L",4,IF(AE54="A",5,7)),
                       IF(OR(V54="EE",V54="CE"),IF(AE54="L",3,IF(AE54="A",4,6)),""))))))))),
   IF('Dados da OS'!$D$8=Parâmetros!$B$5,
      IF(OR(AND(V54="INM",AG54&lt;&gt;"VF"),AND(AG54="VF",V54&lt;&gt;"INM")),"",
         IF(V54="INM",IF(AG54="VF",AF54*AB54,""),
            IF(V54="PE",4.6,
            IF(V54="AL",7,"")))),
   IF('Dados da OS'!$D$8=Parâmetros!$B$6,
      IF(V54="ALI",35,IF(V54="AIE",15,"")),""))
    )
)</f>
        <v>6</v>
      </c>
      <c r="AJ54" s="82">
        <f t="shared" si="8"/>
        <v>3</v>
      </c>
      <c r="AK54" s="84"/>
      <c r="AL54" s="85" t="s">
        <v>21</v>
      </c>
      <c r="AM54" s="86"/>
      <c r="AN54" s="85"/>
      <c r="AO54" s="87"/>
      <c r="AP54" s="85"/>
      <c r="AQ54" s="86"/>
      <c r="AR54" s="85"/>
    </row>
    <row r="55" spans="1:44" ht="15.75" customHeight="1">
      <c r="A55" s="54" t="s">
        <v>313</v>
      </c>
      <c r="B55" s="100"/>
      <c r="C55" s="55"/>
      <c r="D55" s="55"/>
      <c r="E55" s="56"/>
      <c r="F55" s="55"/>
      <c r="G55" s="56"/>
      <c r="H55" s="55"/>
      <c r="I55" s="64"/>
      <c r="J55" s="57" t="str">
        <f t="shared" si="11"/>
        <v/>
      </c>
      <c r="K55" s="57" t="str">
        <f t="shared" si="12"/>
        <v/>
      </c>
      <c r="L55" s="57" t="str">
        <f xml:space="preserve">
IF(OR('Dados da OS'!$D$8=Parâmetros!$B$3,'Dados da OS'!$D$8=Parâmetros!$B$4),
  IF(OR(ISBLANK(D55),ISBLANK(F55)),
     IF(OR(B55="ALI",B55="AIE"),"L",IF(ISBLANK(B55),"","A")),
     IF(B55="EE",IF(F55&gt;=3,IF(D55&gt;=5,"H","A"),
     IF(F55&gt;=2,IF(D55&gt;=16,"H",IF(D55&lt;=4,"L","A")),IF(D55&lt;=15,"L","A"))),
     IF(OR(B55="SE",B55="CE"),IF(F55&gt;=4,IF(D55&gt;=6,"H","A"),IF(F55&gt;=2,IF(D55&gt;=20,"H",IF(D55&lt;=5,"L","A")),IF(D55&lt;=19,"L","A"))),
     IF(OR(B55="ALI",B55="AIE"),IF(F55&gt;=6,IF(D55&gt;=20,"H","A"),IF(F55&gt;=2,IF(D55&gt;=51,"H",IF(D55&lt;=19,"L","A")),IF(D55&lt;=50,"L","A"))))))),
IF('Dados da OS'!$D$8=Parâmetros!$B$6,"Indicativa",
IF('Dados da OS'!$D$8=Parâmetros!$B$5,"PFS","")))</f>
        <v/>
      </c>
      <c r="M55" s="57">
        <f>IFERROR(VLOOKUP(C55,'Fatores de Impacto e INMs'!$A$3:$D$32,3,0),1)</f>
        <v>1</v>
      </c>
      <c r="N55" s="57">
        <f>IFERROR(VLOOKUP(C55,'Fatores de Impacto e INMs'!$A$3:$E$32,5,0),1)</f>
        <v>1</v>
      </c>
      <c r="O55" s="63" t="str">
        <f xml:space="preserve">
IF(OR('Dados da OS'!$D$8="Selecione o tipo da contagem",ISBLANK('Dados da OS'!$D$8),B55="INM",B55="N/A",ISBLANK(B55),ISBLANK(C55),N55="VF"),"-",
   IF('Dados da OS'!$D$8=Parâmetros!$B$3,
      IF(OR(ISBLANK(D55),ISBLANK(F55)),"-",
         IF(L55="L","Baixa",IF(L55="A","Média",IF(L55="H","Alta","-")))),
      IF('Dados da OS'!$D$8=Parâmetros!$B$4,
         IF(OR(B55="ALI",B55="AIE"),"Baixa",IF(OR(B55="EE",B55="SE",B55="CE"),"Média","-")),
         IF(OR('Dados da OS'!$D$8=Parâmetros!$B$5,'Dados da OS'!$D$8=Parâmetros!$B$6),"-"))))</f>
        <v>-</v>
      </c>
      <c r="P55" s="59" t="str">
        <f xml:space="preserve">
IF(OR(ISBLANK(B55),ISBLANK(C55),B55="N/A",ISBLANK('Dados da OS'!$D$8)),"",
   IF(OR('Dados da OS'!$D$8=Parâmetros!$B$3,'Dados da OS'!$D$8=Parâmetros!$B$4),
      IF(OR(AND(B55="INM",N55&lt;&gt;"VF"),AND(N55="VF",B55&lt;&gt;"INM")),"",
        IF(AND(B55="INM",N55="VF"),IF(ISBLANK(H55),"",M55*H55),
        IF('Dados da OS'!$D$8=Parâmetros!$B$4,
           IF(OR(B55="CE",B55="EE"),4,IF(B55="SE",5,IF(B55="ALI",7,IF(B55="AIE",5,"")))),
        IF('Dados da OS'!$D$8=Parâmetros!$B$3,
           IF(OR(ISBLANK(D55),ISBLANK(F55)),"",
              IF(B55="ALI",IF(L55="L",7,IF(L55="A",10,15)),
                 IF(B55="AIE",IF(L55="L",5,IF(L55="A",7,10)),
                    IF(B55="SE",IF(L55="L",4,IF(L55="A",5,7)),
                       IF(OR(B55="EE",B55="CE"),IF(L55="L",3,IF(L55="A",4,6)),""))))))))),
   IF('Dados da OS'!$D$8=Parâmetros!$B$5,
      IF(OR(AND(B55="INM",N55&lt;&gt;"VF"),AND(N55="VF",B55&lt;&gt;"INM")),"",
         IF(B55="INM",IF(N55="VF",M55*H55,""),
            IF(B55="PE",4.6,
            IF(B55="AL",7,"")))),
   IF('Dados da OS'!$D$8=Parâmetros!$B$6,
      IF(B55="ALI",35,IF(B55="AIE",15,"")),""))
    )
)</f>
        <v/>
      </c>
      <c r="Q55" s="60" t="str">
        <f t="shared" si="5"/>
        <v/>
      </c>
      <c r="R55" s="61"/>
      <c r="S55" s="62"/>
      <c r="T55" s="80" t="s">
        <v>21</v>
      </c>
      <c r="U55" s="215"/>
      <c r="V55" s="99"/>
      <c r="W55" s="55"/>
      <c r="X55" s="55"/>
      <c r="Y55" s="56"/>
      <c r="Z55" s="55"/>
      <c r="AA55" s="56"/>
      <c r="AB55" s="55"/>
      <c r="AC55" s="57" t="str">
        <f t="shared" si="6"/>
        <v/>
      </c>
      <c r="AD55" s="57" t="str">
        <f t="shared" si="7"/>
        <v/>
      </c>
      <c r="AE55" s="57" t="str">
        <f xml:space="preserve">
IF(OR('Dados da OS'!$D$8=Parâmetros!$B$3,'Dados da OS'!$D$8=Parâmetros!$B$4),
  IF(OR(ISBLANK(X55),ISBLANK(Z55)),
     IF(OR(V55="ALI",V55="AIE"),"L",IF(ISBLANK(V55),"","A")),
     IF(V55="EE",IF(Z55&gt;=3,IF(X55&gt;=5,"H","A"),
     IF(Z55&gt;=2,IF(X55&gt;=16,"H",IF(X55&lt;=4,"L","A")),IF(X55&lt;=15,"L","A"))),
     IF(OR(V55="SE",V55="CE"),IF(Z55&gt;=4,IF(X55&gt;=6,"H","A"),IF(Z55&gt;=2,IF(X55&gt;=20,"H",IF(X55&lt;=5,"L","A")),IF(X55&lt;=19,"L","A"))),
     IF(OR(V55="ALI",V55="AIE"),IF(Z55&gt;=6,IF(X55&gt;=20,"H","A"),IF(Z55&gt;=2,IF(X55&gt;=51,"H",IF(X55&lt;=19,"L","A")),IF(X55&lt;=50,"L","A"))))))),
IF('Dados da OS'!$D$8=Parâmetros!$B$6,"Indicativa",
IF('Dados da OS'!$D$8=Parâmetros!$B$5,"PFS","")))</f>
        <v/>
      </c>
      <c r="AF55" s="57">
        <f>IFERROR(VLOOKUP(W55,'Fatores de Impacto e INMs'!$A$3:$D$32,3,0),1)</f>
        <v>1</v>
      </c>
      <c r="AG55" s="57">
        <f>IFERROR(VLOOKUP(W55,'Fatores de Impacto e INMs'!$A$3:$E$32,5,0),1)</f>
        <v>1</v>
      </c>
      <c r="AH55" s="82" t="str">
        <f xml:space="preserve">
IF(OR('Dados da OS'!$D$8="Selecione o tipo da contagem",ISBLANK('Dados da OS'!$D$8),V55="INM",V55="N/A",ISBLANK(V55),ISBLANK(W55),AG55="VF"),"-",
   IF('Dados da OS'!$D$8=Parâmetros!$B$3,
      IF(OR(ISBLANK(X55),ISBLANK(Z55)),"-",
         IF(AE55="L","Baixa",IF(AE55="A","Média",IF(AE55="H","Alta","-")))),
      IF('Dados da OS'!$D$8=Parâmetros!$B$4,
         IF(OR(V55="ALI",V55="AIE"),"Baixa",IF(OR(V55="EE",V55="SE",V55="CE"),"Média","-")),
         IF(OR('Dados da OS'!$D$8=Parâmetros!$B$5,'Dados da OS'!$D$8=Parâmetros!$B$6),"-"))))</f>
        <v>-</v>
      </c>
      <c r="AI55" s="83" t="str">
        <f xml:space="preserve">
IF(OR(ISBLANK(V55),ISBLANK(U55),ISBLANK(W55),V55="N/A",ISBLANK('Dados da OS'!$D$8)),"",
   IF(OR('Dados da OS'!$D$8=Parâmetros!$B$3,'Dados da OS'!$D$8=Parâmetros!$B$4),
      IF(OR(AND(V55="INM",AG55&lt;&gt;"VF"),AND(AG55="VF",V55&lt;&gt;"INM")),"",
        IF(AND(V55="INM",AG55="VF"),IF(ISBLANK(AB55),"",AF55*AB55),
        IF('Dados da OS'!$D$8=Parâmetros!$B$4,
           IF(OR(V55="CE",V55="EE"),4,IF(V55="SE",5,IF(V55="ALI",7,IF(V55="AIE",5,"")))),
        IF('Dados da OS'!$D$8=Parâmetros!$B$3,
           IF(OR(ISBLANK(X55),ISBLANK(Z55)),"",
              IF(V55="ALI",IF(AE55="L",7,IF(AE55="A",10,15)),
                 IF(V55="AIE",IF(AE55="L",5,IF(AE55="A",7,10)),
                    IF(V55="SE",IF(AE55="L",4,IF(AE55="A",5,7)),
                       IF(OR(V55="EE",V55="CE"),IF(AE55="L",3,IF(AE55="A",4,6)),""))))))))),
   IF('Dados da OS'!$D$8=Parâmetros!$B$5,
      IF(OR(AND(V55="INM",AG55&lt;&gt;"VF"),AND(AG55="VF",V55&lt;&gt;"INM")),"",
         IF(V55="INM",IF(AG55="VF",AF55*AB55,""),
            IF(V55="PE",4.6,
            IF(V55="AL",7,"")))),
   IF('Dados da OS'!$D$8=Parâmetros!$B$6,
      IF(V55="ALI",35,IF(V55="AIE",15,"")),""))
    )
)</f>
        <v/>
      </c>
      <c r="AJ55" s="82" t="str">
        <f t="shared" si="8"/>
        <v/>
      </c>
      <c r="AK55" s="84"/>
      <c r="AL55" s="85" t="s">
        <v>21</v>
      </c>
      <c r="AM55" s="86"/>
      <c r="AN55" s="85"/>
      <c r="AO55" s="87"/>
      <c r="AP55" s="85"/>
      <c r="AQ55" s="86"/>
      <c r="AR55" s="85"/>
    </row>
    <row r="56" spans="1:44" ht="15.75" customHeight="1">
      <c r="A56" s="54" t="s">
        <v>314</v>
      </c>
      <c r="B56" s="100" t="s">
        <v>121</v>
      </c>
      <c r="C56" s="55" t="s">
        <v>56</v>
      </c>
      <c r="D56" s="55">
        <v>10</v>
      </c>
      <c r="E56" s="56" t="s">
        <v>315</v>
      </c>
      <c r="F56" s="55">
        <v>2</v>
      </c>
      <c r="G56" s="56" t="s">
        <v>316</v>
      </c>
      <c r="H56" s="55"/>
      <c r="I56" s="64"/>
      <c r="J56" s="57" t="str">
        <f t="shared" si="11"/>
        <v>EEA</v>
      </c>
      <c r="K56" s="57" t="str">
        <f t="shared" si="12"/>
        <v>EEA50A2</v>
      </c>
      <c r="L56" s="57" t="str">
        <f xml:space="preserve">
IF(OR('Dados da OS'!$D$8=Parâmetros!$B$3,'Dados da OS'!$D$8=Parâmetros!$B$4),
  IF(OR(ISBLANK(D56),ISBLANK(F56)),
     IF(OR(B56="ALI",B56="AIE"),"L",IF(ISBLANK(B56),"","A")),
     IF(B56="EE",IF(F56&gt;=3,IF(D56&gt;=5,"H","A"),
     IF(F56&gt;=2,IF(D56&gt;=16,"H",IF(D56&lt;=4,"L","A")),IF(D56&lt;=15,"L","A"))),
     IF(OR(B56="SE",B56="CE"),IF(F56&gt;=4,IF(D56&gt;=6,"H","A"),IF(F56&gt;=2,IF(D56&gt;=20,"H",IF(D56&lt;=5,"L","A")),IF(D56&lt;=19,"L","A"))),
     IF(OR(B56="ALI",B56="AIE"),IF(F56&gt;=6,IF(D56&gt;=20,"H","A"),IF(F56&gt;=2,IF(D56&gt;=51,"H",IF(D56&lt;=19,"L","A")),IF(D56&lt;=50,"L","A"))))))),
IF('Dados da OS'!$D$8=Parâmetros!$B$6,"Indicativa",
IF('Dados da OS'!$D$8=Parâmetros!$B$5,"PFS","")))</f>
        <v>A</v>
      </c>
      <c r="M56" s="57">
        <f>IFERROR(VLOOKUP(C56,'Fatores de Impacto e INMs'!$A$3:$D$32,3,0),1)</f>
        <v>0.5</v>
      </c>
      <c r="N56" s="57" t="str">
        <f>IFERROR(VLOOKUP(C56,'Fatores de Impacto e INMs'!$A$3:$E$32,5,0),1)</f>
        <v>VP</v>
      </c>
      <c r="O56" s="63" t="str">
        <f xml:space="preserve">
IF(OR('Dados da OS'!$D$8="Selecione o tipo da contagem",ISBLANK('Dados da OS'!$D$8),B56="INM",B56="N/A",ISBLANK(B56),ISBLANK(C56),N56="VF"),"-",
   IF('Dados da OS'!$D$8=Parâmetros!$B$3,
      IF(OR(ISBLANK(D56),ISBLANK(F56)),"-",
         IF(L56="L","Baixa",IF(L56="A","Média",IF(L56="H","Alta","-")))),
      IF('Dados da OS'!$D$8=Parâmetros!$B$4,
         IF(OR(B56="ALI",B56="AIE"),"Baixa",IF(OR(B56="EE",B56="SE",B56="CE"),"Média","-")),
         IF(OR('Dados da OS'!$D$8=Parâmetros!$B$5,'Dados da OS'!$D$8=Parâmetros!$B$6),"-"))))</f>
        <v>Média</v>
      </c>
      <c r="P56" s="59">
        <f xml:space="preserve">
IF(OR(ISBLANK(B56),ISBLANK(C56),B56="N/A",ISBLANK('Dados da OS'!$D$8)),"",
   IF(OR('Dados da OS'!$D$8=Parâmetros!$B$3,'Dados da OS'!$D$8=Parâmetros!$B$4),
      IF(OR(AND(B56="INM",N56&lt;&gt;"VF"),AND(N56="VF",B56&lt;&gt;"INM")),"",
        IF(AND(B56="INM",N56="VF"),IF(ISBLANK(H56),"",M56*H56),
        IF('Dados da OS'!$D$8=Parâmetros!$B$4,
           IF(OR(B56="CE",B56="EE"),4,IF(B56="SE",5,IF(B56="ALI",7,IF(B56="AIE",5,"")))),
        IF('Dados da OS'!$D$8=Parâmetros!$B$3,
           IF(OR(ISBLANK(D56),ISBLANK(F56)),"",
              IF(B56="ALI",IF(L56="L",7,IF(L56="A",10,15)),
                 IF(B56="AIE",IF(L56="L",5,IF(L56="A",7,10)),
                    IF(B56="SE",IF(L56="L",4,IF(L56="A",5,7)),
                       IF(OR(B56="EE",B56="CE"),IF(L56="L",3,IF(L56="A",4,6)),""))))))))),
   IF('Dados da OS'!$D$8=Parâmetros!$B$5,
      IF(OR(AND(B56="INM",N56&lt;&gt;"VF"),AND(N56="VF",B56&lt;&gt;"INM")),"",
         IF(B56="INM",IF(N56="VF",M56*H56,""),
            IF(B56="PE",4.6,
            IF(B56="AL",7,"")))),
   IF('Dados da OS'!$D$8=Parâmetros!$B$6,
      IF(B56="ALI",35,IF(B56="AIE",15,"")),""))
    )
)</f>
        <v>4</v>
      </c>
      <c r="Q56" s="60">
        <f t="shared" si="5"/>
        <v>2</v>
      </c>
      <c r="R56" s="61"/>
      <c r="S56" s="62" t="s">
        <v>337</v>
      </c>
      <c r="T56" s="80" t="s">
        <v>21</v>
      </c>
      <c r="U56" s="215" t="s">
        <v>214</v>
      </c>
      <c r="V56" s="99" t="s">
        <v>121</v>
      </c>
      <c r="W56" s="55" t="s">
        <v>56</v>
      </c>
      <c r="X56" s="55">
        <v>10</v>
      </c>
      <c r="Y56" s="56" t="s">
        <v>315</v>
      </c>
      <c r="Z56" s="55">
        <v>2</v>
      </c>
      <c r="AA56" s="56" t="s">
        <v>316</v>
      </c>
      <c r="AB56" s="55"/>
      <c r="AC56" s="57" t="str">
        <f t="shared" si="6"/>
        <v>EEA</v>
      </c>
      <c r="AD56" s="57" t="str">
        <f t="shared" si="7"/>
        <v>EEA50A2</v>
      </c>
      <c r="AE56" s="57" t="str">
        <f xml:space="preserve">
IF(OR('Dados da OS'!$D$8=Parâmetros!$B$3,'Dados da OS'!$D$8=Parâmetros!$B$4),
  IF(OR(ISBLANK(X56),ISBLANK(Z56)),
     IF(OR(V56="ALI",V56="AIE"),"L",IF(ISBLANK(V56),"","A")),
     IF(V56="EE",IF(Z56&gt;=3,IF(X56&gt;=5,"H","A"),
     IF(Z56&gt;=2,IF(X56&gt;=16,"H",IF(X56&lt;=4,"L","A")),IF(X56&lt;=15,"L","A"))),
     IF(OR(V56="SE",V56="CE"),IF(Z56&gt;=4,IF(X56&gt;=6,"H","A"),IF(Z56&gt;=2,IF(X56&gt;=20,"H",IF(X56&lt;=5,"L","A")),IF(X56&lt;=19,"L","A"))),
     IF(OR(V56="ALI",V56="AIE"),IF(Z56&gt;=6,IF(X56&gt;=20,"H","A"),IF(Z56&gt;=2,IF(X56&gt;=51,"H",IF(X56&lt;=19,"L","A")),IF(X56&lt;=50,"L","A"))))))),
IF('Dados da OS'!$D$8=Parâmetros!$B$6,"Indicativa",
IF('Dados da OS'!$D$8=Parâmetros!$B$5,"PFS","")))</f>
        <v>A</v>
      </c>
      <c r="AF56" s="57">
        <f>IFERROR(VLOOKUP(W56,'Fatores de Impacto e INMs'!$A$3:$D$32,3,0),1)</f>
        <v>0.5</v>
      </c>
      <c r="AG56" s="57" t="str">
        <f>IFERROR(VLOOKUP(W56,'Fatores de Impacto e INMs'!$A$3:$E$32,5,0),1)</f>
        <v>VP</v>
      </c>
      <c r="AH56" s="82" t="str">
        <f xml:space="preserve">
IF(OR('Dados da OS'!$D$8="Selecione o tipo da contagem",ISBLANK('Dados da OS'!$D$8),V56="INM",V56="N/A",ISBLANK(V56),ISBLANK(W56),AG56="VF"),"-",
   IF('Dados da OS'!$D$8=Parâmetros!$B$3,
      IF(OR(ISBLANK(X56),ISBLANK(Z56)),"-",
         IF(AE56="L","Baixa",IF(AE56="A","Média",IF(AE56="H","Alta","-")))),
      IF('Dados da OS'!$D$8=Parâmetros!$B$4,
         IF(OR(V56="ALI",V56="AIE"),"Baixa",IF(OR(V56="EE",V56="SE",V56="CE"),"Média","-")),
         IF(OR('Dados da OS'!$D$8=Parâmetros!$B$5,'Dados da OS'!$D$8=Parâmetros!$B$6),"-"))))</f>
        <v>Média</v>
      </c>
      <c r="AI56" s="83">
        <f xml:space="preserve">
IF(OR(ISBLANK(V56),ISBLANK(U56),ISBLANK(W56),V56="N/A",ISBLANK('Dados da OS'!$D$8)),"",
   IF(OR('Dados da OS'!$D$8=Parâmetros!$B$3,'Dados da OS'!$D$8=Parâmetros!$B$4),
      IF(OR(AND(V56="INM",AG56&lt;&gt;"VF"),AND(AG56="VF",V56&lt;&gt;"INM")),"",
        IF(AND(V56="INM",AG56="VF"),IF(ISBLANK(AB56),"",AF56*AB56),
        IF('Dados da OS'!$D$8=Parâmetros!$B$4,
           IF(OR(V56="CE",V56="EE"),4,IF(V56="SE",5,IF(V56="ALI",7,IF(V56="AIE",5,"")))),
        IF('Dados da OS'!$D$8=Parâmetros!$B$3,
           IF(OR(ISBLANK(X56),ISBLANK(Z56)),"",
              IF(V56="ALI",IF(AE56="L",7,IF(AE56="A",10,15)),
                 IF(V56="AIE",IF(AE56="L",5,IF(AE56="A",7,10)),
                    IF(V56="SE",IF(AE56="L",4,IF(AE56="A",5,7)),
                       IF(OR(V56="EE",V56="CE"),IF(AE56="L",3,IF(AE56="A",4,6)),""))))))))),
   IF('Dados da OS'!$D$8=Parâmetros!$B$5,
      IF(OR(AND(V56="INM",AG56&lt;&gt;"VF"),AND(AG56="VF",V56&lt;&gt;"INM")),"",
         IF(V56="INM",IF(AG56="VF",AF56*AB56,""),
            IF(V56="PE",4.6,
            IF(V56="AL",7,"")))),
   IF('Dados da OS'!$D$8=Parâmetros!$B$6,
      IF(V56="ALI",35,IF(V56="AIE",15,"")),""))
    )
)</f>
        <v>4</v>
      </c>
      <c r="AJ56" s="82">
        <f t="shared" si="8"/>
        <v>2</v>
      </c>
      <c r="AK56" s="84"/>
      <c r="AL56" s="85" t="s">
        <v>21</v>
      </c>
      <c r="AM56" s="86"/>
      <c r="AN56" s="85"/>
      <c r="AO56" s="87"/>
      <c r="AP56" s="85"/>
      <c r="AQ56" s="86"/>
      <c r="AR56" s="85"/>
    </row>
    <row r="57" spans="1:44" ht="15.75" customHeight="1">
      <c r="A57" s="54" t="s">
        <v>317</v>
      </c>
      <c r="B57" s="100"/>
      <c r="C57" s="55"/>
      <c r="D57" s="55"/>
      <c r="E57" s="56"/>
      <c r="F57" s="55"/>
      <c r="G57" s="56"/>
      <c r="H57" s="55"/>
      <c r="I57" s="64"/>
      <c r="J57" s="57" t="str">
        <f t="shared" si="11"/>
        <v/>
      </c>
      <c r="K57" s="57" t="str">
        <f t="shared" si="12"/>
        <v/>
      </c>
      <c r="L57" s="57" t="str">
        <f xml:space="preserve">
IF(OR('Dados da OS'!$D$8=Parâmetros!$B$3,'Dados da OS'!$D$8=Parâmetros!$B$4),
  IF(OR(ISBLANK(D57),ISBLANK(F57)),
     IF(OR(B57="ALI",B57="AIE"),"L",IF(ISBLANK(B57),"","A")),
     IF(B57="EE",IF(F57&gt;=3,IF(D57&gt;=5,"H","A"),
     IF(F57&gt;=2,IF(D57&gt;=16,"H",IF(D57&lt;=4,"L","A")),IF(D57&lt;=15,"L","A"))),
     IF(OR(B57="SE",B57="CE"),IF(F57&gt;=4,IF(D57&gt;=6,"H","A"),IF(F57&gt;=2,IF(D57&gt;=20,"H",IF(D57&lt;=5,"L","A")),IF(D57&lt;=19,"L","A"))),
     IF(OR(B57="ALI",B57="AIE"),IF(F57&gt;=6,IF(D57&gt;=20,"H","A"),IF(F57&gt;=2,IF(D57&gt;=51,"H",IF(D57&lt;=19,"L","A")),IF(D57&lt;=50,"L","A"))))))),
IF('Dados da OS'!$D$8=Parâmetros!$B$6,"Indicativa",
IF('Dados da OS'!$D$8=Parâmetros!$B$5,"PFS","")))</f>
        <v/>
      </c>
      <c r="M57" s="57">
        <f>IFERROR(VLOOKUP(C57,'Fatores de Impacto e INMs'!$A$3:$D$32,3,0),1)</f>
        <v>1</v>
      </c>
      <c r="N57" s="57">
        <f>IFERROR(VLOOKUP(C57,'Fatores de Impacto e INMs'!$A$3:$E$32,5,0),1)</f>
        <v>1</v>
      </c>
      <c r="O57" s="63" t="str">
        <f xml:space="preserve">
IF(OR('Dados da OS'!$D$8="Selecione o tipo da contagem",ISBLANK('Dados da OS'!$D$8),B57="INM",B57="N/A",ISBLANK(B57),ISBLANK(C57),N57="VF"),"-",
   IF('Dados da OS'!$D$8=Parâmetros!$B$3,
      IF(OR(ISBLANK(D57),ISBLANK(F57)),"-",
         IF(L57="L","Baixa",IF(L57="A","Média",IF(L57="H","Alta","-")))),
      IF('Dados da OS'!$D$8=Parâmetros!$B$4,
         IF(OR(B57="ALI",B57="AIE"),"Baixa",IF(OR(B57="EE",B57="SE",B57="CE"),"Média","-")),
         IF(OR('Dados da OS'!$D$8=Parâmetros!$B$5,'Dados da OS'!$D$8=Parâmetros!$B$6),"-"))))</f>
        <v>-</v>
      </c>
      <c r="P57" s="59" t="str">
        <f xml:space="preserve">
IF(OR(ISBLANK(B57),ISBLANK(C57),B57="N/A",ISBLANK('Dados da OS'!$D$8)),"",
   IF(OR('Dados da OS'!$D$8=Parâmetros!$B$3,'Dados da OS'!$D$8=Parâmetros!$B$4),
      IF(OR(AND(B57="INM",N57&lt;&gt;"VF"),AND(N57="VF",B57&lt;&gt;"INM")),"",
        IF(AND(B57="INM",N57="VF"),IF(ISBLANK(H57),"",M57*H57),
        IF('Dados da OS'!$D$8=Parâmetros!$B$4,
           IF(OR(B57="CE",B57="EE"),4,IF(B57="SE",5,IF(B57="ALI",7,IF(B57="AIE",5,"")))),
        IF('Dados da OS'!$D$8=Parâmetros!$B$3,
           IF(OR(ISBLANK(D57),ISBLANK(F57)),"",
              IF(B57="ALI",IF(L57="L",7,IF(L57="A",10,15)),
                 IF(B57="AIE",IF(L57="L",5,IF(L57="A",7,10)),
                    IF(B57="SE",IF(L57="L",4,IF(L57="A",5,7)),
                       IF(OR(B57="EE",B57="CE"),IF(L57="L",3,IF(L57="A",4,6)),""))))))))),
   IF('Dados da OS'!$D$8=Parâmetros!$B$5,
      IF(OR(AND(B57="INM",N57&lt;&gt;"VF"),AND(N57="VF",B57&lt;&gt;"INM")),"",
         IF(B57="INM",IF(N57="VF",M57*H57,""),
            IF(B57="PE",4.6,
            IF(B57="AL",7,"")))),
   IF('Dados da OS'!$D$8=Parâmetros!$B$6,
      IF(B57="ALI",35,IF(B57="AIE",15,"")),""))
    )
)</f>
        <v/>
      </c>
      <c r="Q57" s="60" t="str">
        <f t="shared" si="5"/>
        <v/>
      </c>
      <c r="R57" s="61"/>
      <c r="S57" s="62"/>
      <c r="T57" s="80" t="s">
        <v>21</v>
      </c>
      <c r="U57" s="215"/>
      <c r="V57" s="99"/>
      <c r="W57" s="55"/>
      <c r="X57" s="55"/>
      <c r="Y57" s="56"/>
      <c r="Z57" s="55"/>
      <c r="AA57" s="56"/>
      <c r="AB57" s="55"/>
      <c r="AC57" s="57" t="str">
        <f t="shared" si="6"/>
        <v/>
      </c>
      <c r="AD57" s="57" t="str">
        <f t="shared" si="7"/>
        <v/>
      </c>
      <c r="AE57" s="57" t="str">
        <f xml:space="preserve">
IF(OR('Dados da OS'!$D$8=Parâmetros!$B$3,'Dados da OS'!$D$8=Parâmetros!$B$4),
  IF(OR(ISBLANK(X57),ISBLANK(Z57)),
     IF(OR(V57="ALI",V57="AIE"),"L",IF(ISBLANK(V57),"","A")),
     IF(V57="EE",IF(Z57&gt;=3,IF(X57&gt;=5,"H","A"),
     IF(Z57&gt;=2,IF(X57&gt;=16,"H",IF(X57&lt;=4,"L","A")),IF(X57&lt;=15,"L","A"))),
     IF(OR(V57="SE",V57="CE"),IF(Z57&gt;=4,IF(X57&gt;=6,"H","A"),IF(Z57&gt;=2,IF(X57&gt;=20,"H",IF(X57&lt;=5,"L","A")),IF(X57&lt;=19,"L","A"))),
     IF(OR(V57="ALI",V57="AIE"),IF(Z57&gt;=6,IF(X57&gt;=20,"H","A"),IF(Z57&gt;=2,IF(X57&gt;=51,"H",IF(X57&lt;=19,"L","A")),IF(X57&lt;=50,"L","A"))))))),
IF('Dados da OS'!$D$8=Parâmetros!$B$6,"Indicativa",
IF('Dados da OS'!$D$8=Parâmetros!$B$5,"PFS","")))</f>
        <v/>
      </c>
      <c r="AF57" s="57">
        <f>IFERROR(VLOOKUP(W57,'Fatores de Impacto e INMs'!$A$3:$D$32,3,0),1)</f>
        <v>1</v>
      </c>
      <c r="AG57" s="57">
        <f>IFERROR(VLOOKUP(W57,'Fatores de Impacto e INMs'!$A$3:$E$32,5,0),1)</f>
        <v>1</v>
      </c>
      <c r="AH57" s="82" t="str">
        <f xml:space="preserve">
IF(OR('Dados da OS'!$D$8="Selecione o tipo da contagem",ISBLANK('Dados da OS'!$D$8),V57="INM",V57="N/A",ISBLANK(V57),ISBLANK(W57),AG57="VF"),"-",
   IF('Dados da OS'!$D$8=Parâmetros!$B$3,
      IF(OR(ISBLANK(X57),ISBLANK(Z57)),"-",
         IF(AE57="L","Baixa",IF(AE57="A","Média",IF(AE57="H","Alta","-")))),
      IF('Dados da OS'!$D$8=Parâmetros!$B$4,
         IF(OR(V57="ALI",V57="AIE"),"Baixa",IF(OR(V57="EE",V57="SE",V57="CE"),"Média","-")),
         IF(OR('Dados da OS'!$D$8=Parâmetros!$B$5,'Dados da OS'!$D$8=Parâmetros!$B$6),"-"))))</f>
        <v>-</v>
      </c>
      <c r="AI57" s="83" t="str">
        <f xml:space="preserve">
IF(OR(ISBLANK(V57),ISBLANK(U57),ISBLANK(W57),V57="N/A",ISBLANK('Dados da OS'!$D$8)),"",
   IF(OR('Dados da OS'!$D$8=Parâmetros!$B$3,'Dados da OS'!$D$8=Parâmetros!$B$4),
      IF(OR(AND(V57="INM",AG57&lt;&gt;"VF"),AND(AG57="VF",V57&lt;&gt;"INM")),"",
        IF(AND(V57="INM",AG57="VF"),IF(ISBLANK(AB57),"",AF57*AB57),
        IF('Dados da OS'!$D$8=Parâmetros!$B$4,
           IF(OR(V57="CE",V57="EE"),4,IF(V57="SE",5,IF(V57="ALI",7,IF(V57="AIE",5,"")))),
        IF('Dados da OS'!$D$8=Parâmetros!$B$3,
           IF(OR(ISBLANK(X57),ISBLANK(Z57)),"",
              IF(V57="ALI",IF(AE57="L",7,IF(AE57="A",10,15)),
                 IF(V57="AIE",IF(AE57="L",5,IF(AE57="A",7,10)),
                    IF(V57="SE",IF(AE57="L",4,IF(AE57="A",5,7)),
                       IF(OR(V57="EE",V57="CE"),IF(AE57="L",3,IF(AE57="A",4,6)),""))))))))),
   IF('Dados da OS'!$D$8=Parâmetros!$B$5,
      IF(OR(AND(V57="INM",AG57&lt;&gt;"VF"),AND(AG57="VF",V57&lt;&gt;"INM")),"",
         IF(V57="INM",IF(AG57="VF",AF57*AB57,""),
            IF(V57="PE",4.6,
            IF(V57="AL",7,"")))),
   IF('Dados da OS'!$D$8=Parâmetros!$B$6,
      IF(V57="ALI",35,IF(V57="AIE",15,"")),""))
    )
)</f>
        <v/>
      </c>
      <c r="AJ57" s="82" t="str">
        <f t="shared" si="8"/>
        <v/>
      </c>
      <c r="AK57" s="84"/>
      <c r="AL57" s="85" t="s">
        <v>21</v>
      </c>
      <c r="AM57" s="86"/>
      <c r="AN57" s="85"/>
      <c r="AO57" s="87"/>
      <c r="AP57" s="85"/>
      <c r="AQ57" s="86"/>
      <c r="AR57" s="85"/>
    </row>
    <row r="58" spans="1:44" ht="15.75" customHeight="1">
      <c r="A58" s="54" t="s">
        <v>318</v>
      </c>
      <c r="B58" s="100" t="s">
        <v>121</v>
      </c>
      <c r="C58" s="55" t="s">
        <v>56</v>
      </c>
      <c r="D58" s="55">
        <v>9</v>
      </c>
      <c r="E58" s="56" t="s">
        <v>319</v>
      </c>
      <c r="F58" s="55">
        <v>2</v>
      </c>
      <c r="G58" s="56" t="s">
        <v>316</v>
      </c>
      <c r="H58" s="55"/>
      <c r="I58" s="64"/>
      <c r="J58" s="57" t="str">
        <f t="shared" si="11"/>
        <v>EEA</v>
      </c>
      <c r="K58" s="57" t="str">
        <f t="shared" si="12"/>
        <v>EEA50A2</v>
      </c>
      <c r="L58" s="57" t="str">
        <f xml:space="preserve">
IF(OR('Dados da OS'!$D$8=Parâmetros!$B$3,'Dados da OS'!$D$8=Parâmetros!$B$4),
  IF(OR(ISBLANK(D58),ISBLANK(F58)),
     IF(OR(B58="ALI",B58="AIE"),"L",IF(ISBLANK(B58),"","A")),
     IF(B58="EE",IF(F58&gt;=3,IF(D58&gt;=5,"H","A"),
     IF(F58&gt;=2,IF(D58&gt;=16,"H",IF(D58&lt;=4,"L","A")),IF(D58&lt;=15,"L","A"))),
     IF(OR(B58="SE",B58="CE"),IF(F58&gt;=4,IF(D58&gt;=6,"H","A"),IF(F58&gt;=2,IF(D58&gt;=20,"H",IF(D58&lt;=5,"L","A")),IF(D58&lt;=19,"L","A"))),
     IF(OR(B58="ALI",B58="AIE"),IF(F58&gt;=6,IF(D58&gt;=20,"H","A"),IF(F58&gt;=2,IF(D58&gt;=51,"H",IF(D58&lt;=19,"L","A")),IF(D58&lt;=50,"L","A"))))))),
IF('Dados da OS'!$D$8=Parâmetros!$B$6,"Indicativa",
IF('Dados da OS'!$D$8=Parâmetros!$B$5,"PFS","")))</f>
        <v>A</v>
      </c>
      <c r="M58" s="57">
        <f>IFERROR(VLOOKUP(C58,'Fatores de Impacto e INMs'!$A$3:$D$32,3,0),1)</f>
        <v>0.5</v>
      </c>
      <c r="N58" s="57" t="str">
        <f>IFERROR(VLOOKUP(C58,'Fatores de Impacto e INMs'!$A$3:$E$32,5,0),1)</f>
        <v>VP</v>
      </c>
      <c r="O58" s="63" t="str">
        <f xml:space="preserve">
IF(OR('Dados da OS'!$D$8="Selecione o tipo da contagem",ISBLANK('Dados da OS'!$D$8),B58="INM",B58="N/A",ISBLANK(B58),ISBLANK(C58),N58="VF"),"-",
   IF('Dados da OS'!$D$8=Parâmetros!$B$3,
      IF(OR(ISBLANK(D58),ISBLANK(F58)),"-",
         IF(L58="L","Baixa",IF(L58="A","Média",IF(L58="H","Alta","-")))),
      IF('Dados da OS'!$D$8=Parâmetros!$B$4,
         IF(OR(B58="ALI",B58="AIE"),"Baixa",IF(OR(B58="EE",B58="SE",B58="CE"),"Média","-")),
         IF(OR('Dados da OS'!$D$8=Parâmetros!$B$5,'Dados da OS'!$D$8=Parâmetros!$B$6),"-"))))</f>
        <v>Média</v>
      </c>
      <c r="P58" s="59">
        <f xml:space="preserve">
IF(OR(ISBLANK(B58),ISBLANK(C58),B58="N/A",ISBLANK('Dados da OS'!$D$8)),"",
   IF(OR('Dados da OS'!$D$8=Parâmetros!$B$3,'Dados da OS'!$D$8=Parâmetros!$B$4),
      IF(OR(AND(B58="INM",N58&lt;&gt;"VF"),AND(N58="VF",B58&lt;&gt;"INM")),"",
        IF(AND(B58="INM",N58="VF"),IF(ISBLANK(H58),"",M58*H58),
        IF('Dados da OS'!$D$8=Parâmetros!$B$4,
           IF(OR(B58="CE",B58="EE"),4,IF(B58="SE",5,IF(B58="ALI",7,IF(B58="AIE",5,"")))),
        IF('Dados da OS'!$D$8=Parâmetros!$B$3,
           IF(OR(ISBLANK(D58),ISBLANK(F58)),"",
              IF(B58="ALI",IF(L58="L",7,IF(L58="A",10,15)),
                 IF(B58="AIE",IF(L58="L",5,IF(L58="A",7,10)),
                    IF(B58="SE",IF(L58="L",4,IF(L58="A",5,7)),
                       IF(OR(B58="EE",B58="CE"),IF(L58="L",3,IF(L58="A",4,6)),""))))))))),
   IF('Dados da OS'!$D$8=Parâmetros!$B$5,
      IF(OR(AND(B58="INM",N58&lt;&gt;"VF"),AND(N58="VF",B58&lt;&gt;"INM")),"",
         IF(B58="INM",IF(N58="VF",M58*H58,""),
            IF(B58="PE",4.6,
            IF(B58="AL",7,"")))),
   IF('Dados da OS'!$D$8=Parâmetros!$B$6,
      IF(B58="ALI",35,IF(B58="AIE",15,"")),""))
    )
)</f>
        <v>4</v>
      </c>
      <c r="Q58" s="60">
        <f t="shared" si="5"/>
        <v>2</v>
      </c>
      <c r="R58" s="61"/>
      <c r="S58" s="62" t="s">
        <v>338</v>
      </c>
      <c r="T58" s="80" t="s">
        <v>21</v>
      </c>
      <c r="U58" s="215" t="s">
        <v>214</v>
      </c>
      <c r="V58" s="99" t="s">
        <v>121</v>
      </c>
      <c r="W58" s="55" t="s">
        <v>56</v>
      </c>
      <c r="X58" s="55">
        <v>9</v>
      </c>
      <c r="Y58" s="56" t="s">
        <v>319</v>
      </c>
      <c r="Z58" s="55">
        <v>2</v>
      </c>
      <c r="AA58" s="56" t="s">
        <v>316</v>
      </c>
      <c r="AB58" s="55"/>
      <c r="AC58" s="57" t="str">
        <f t="shared" si="6"/>
        <v>EEA</v>
      </c>
      <c r="AD58" s="57" t="str">
        <f t="shared" si="7"/>
        <v>EEA50A2</v>
      </c>
      <c r="AE58" s="57" t="str">
        <f xml:space="preserve">
IF(OR('Dados da OS'!$D$8=Parâmetros!$B$3,'Dados da OS'!$D$8=Parâmetros!$B$4),
  IF(OR(ISBLANK(X58),ISBLANK(Z58)),
     IF(OR(V58="ALI",V58="AIE"),"L",IF(ISBLANK(V58),"","A")),
     IF(V58="EE",IF(Z58&gt;=3,IF(X58&gt;=5,"H","A"),
     IF(Z58&gt;=2,IF(X58&gt;=16,"H",IF(X58&lt;=4,"L","A")),IF(X58&lt;=15,"L","A"))),
     IF(OR(V58="SE",V58="CE"),IF(Z58&gt;=4,IF(X58&gt;=6,"H","A"),IF(Z58&gt;=2,IF(X58&gt;=20,"H",IF(X58&lt;=5,"L","A")),IF(X58&lt;=19,"L","A"))),
     IF(OR(V58="ALI",V58="AIE"),IF(Z58&gt;=6,IF(X58&gt;=20,"H","A"),IF(Z58&gt;=2,IF(X58&gt;=51,"H",IF(X58&lt;=19,"L","A")),IF(X58&lt;=50,"L","A"))))))),
IF('Dados da OS'!$D$8=Parâmetros!$B$6,"Indicativa",
IF('Dados da OS'!$D$8=Parâmetros!$B$5,"PFS","")))</f>
        <v>A</v>
      </c>
      <c r="AF58" s="57">
        <f>IFERROR(VLOOKUP(W58,'Fatores de Impacto e INMs'!$A$3:$D$32,3,0),1)</f>
        <v>0.5</v>
      </c>
      <c r="AG58" s="57" t="str">
        <f>IFERROR(VLOOKUP(W58,'Fatores de Impacto e INMs'!$A$3:$E$32,5,0),1)</f>
        <v>VP</v>
      </c>
      <c r="AH58" s="82" t="str">
        <f xml:space="preserve">
IF(OR('Dados da OS'!$D$8="Selecione o tipo da contagem",ISBLANK('Dados da OS'!$D$8),V58="INM",V58="N/A",ISBLANK(V58),ISBLANK(W58),AG58="VF"),"-",
   IF('Dados da OS'!$D$8=Parâmetros!$B$3,
      IF(OR(ISBLANK(X58),ISBLANK(Z58)),"-",
         IF(AE58="L","Baixa",IF(AE58="A","Média",IF(AE58="H","Alta","-")))),
      IF('Dados da OS'!$D$8=Parâmetros!$B$4,
         IF(OR(V58="ALI",V58="AIE"),"Baixa",IF(OR(V58="EE",V58="SE",V58="CE"),"Média","-")),
         IF(OR('Dados da OS'!$D$8=Parâmetros!$B$5,'Dados da OS'!$D$8=Parâmetros!$B$6),"-"))))</f>
        <v>Média</v>
      </c>
      <c r="AI58" s="83">
        <f xml:space="preserve">
IF(OR(ISBLANK(V58),ISBLANK(U58),ISBLANK(W58),V58="N/A",ISBLANK('Dados da OS'!$D$8)),"",
   IF(OR('Dados da OS'!$D$8=Parâmetros!$B$3,'Dados da OS'!$D$8=Parâmetros!$B$4),
      IF(OR(AND(V58="INM",AG58&lt;&gt;"VF"),AND(AG58="VF",V58&lt;&gt;"INM")),"",
        IF(AND(V58="INM",AG58="VF"),IF(ISBLANK(AB58),"",AF58*AB58),
        IF('Dados da OS'!$D$8=Parâmetros!$B$4,
           IF(OR(V58="CE",V58="EE"),4,IF(V58="SE",5,IF(V58="ALI",7,IF(V58="AIE",5,"")))),
        IF('Dados da OS'!$D$8=Parâmetros!$B$3,
           IF(OR(ISBLANK(X58),ISBLANK(Z58)),"",
              IF(V58="ALI",IF(AE58="L",7,IF(AE58="A",10,15)),
                 IF(V58="AIE",IF(AE58="L",5,IF(AE58="A",7,10)),
                    IF(V58="SE",IF(AE58="L",4,IF(AE58="A",5,7)),
                       IF(OR(V58="EE",V58="CE"),IF(AE58="L",3,IF(AE58="A",4,6)),""))))))))),
   IF('Dados da OS'!$D$8=Parâmetros!$B$5,
      IF(OR(AND(V58="INM",AG58&lt;&gt;"VF"),AND(AG58="VF",V58&lt;&gt;"INM")),"",
         IF(V58="INM",IF(AG58="VF",AF58*AB58,""),
            IF(V58="PE",4.6,
            IF(V58="AL",7,"")))),
   IF('Dados da OS'!$D$8=Parâmetros!$B$6,
      IF(V58="ALI",35,IF(V58="AIE",15,"")),""))
    )
)</f>
        <v>4</v>
      </c>
      <c r="AJ58" s="82">
        <f t="shared" si="8"/>
        <v>2</v>
      </c>
      <c r="AK58" s="84"/>
      <c r="AL58" s="85" t="s">
        <v>21</v>
      </c>
      <c r="AM58" s="86"/>
      <c r="AN58" s="85"/>
      <c r="AO58" s="87"/>
      <c r="AP58" s="85"/>
      <c r="AQ58" s="86"/>
      <c r="AR58" s="85"/>
    </row>
    <row r="59" spans="1:44" ht="15.75" customHeight="1">
      <c r="A59" s="54"/>
      <c r="B59" s="100"/>
      <c r="C59" s="55"/>
      <c r="D59" s="55"/>
      <c r="E59" s="56"/>
      <c r="F59" s="55"/>
      <c r="G59" s="56"/>
      <c r="H59" s="55"/>
      <c r="I59" s="64"/>
      <c r="J59" s="57" t="str">
        <f t="shared" si="11"/>
        <v/>
      </c>
      <c r="K59" s="57" t="str">
        <f t="shared" si="12"/>
        <v/>
      </c>
      <c r="L59" s="57" t="str">
        <f xml:space="preserve">
IF(OR('Dados da OS'!$D$8=Parâmetros!$B$3,'Dados da OS'!$D$8=Parâmetros!$B$4),
  IF(OR(ISBLANK(D59),ISBLANK(F59)),
     IF(OR(B59="ALI",B59="AIE"),"L",IF(ISBLANK(B59),"","A")),
     IF(B59="EE",IF(F59&gt;=3,IF(D59&gt;=5,"H","A"),
     IF(F59&gt;=2,IF(D59&gt;=16,"H",IF(D59&lt;=4,"L","A")),IF(D59&lt;=15,"L","A"))),
     IF(OR(B59="SE",B59="CE"),IF(F59&gt;=4,IF(D59&gt;=6,"H","A"),IF(F59&gt;=2,IF(D59&gt;=20,"H",IF(D59&lt;=5,"L","A")),IF(D59&lt;=19,"L","A"))),
     IF(OR(B59="ALI",B59="AIE"),IF(F59&gt;=6,IF(D59&gt;=20,"H","A"),IF(F59&gt;=2,IF(D59&gt;=51,"H",IF(D59&lt;=19,"L","A")),IF(D59&lt;=50,"L","A"))))))),
IF('Dados da OS'!$D$8=Parâmetros!$B$6,"Indicativa",
IF('Dados da OS'!$D$8=Parâmetros!$B$5,"PFS","")))</f>
        <v/>
      </c>
      <c r="M59" s="57">
        <f>IFERROR(VLOOKUP(C59,'Fatores de Impacto e INMs'!$A$3:$D$32,3,0),1)</f>
        <v>1</v>
      </c>
      <c r="N59" s="57">
        <f>IFERROR(VLOOKUP(C59,'Fatores de Impacto e INMs'!$A$3:$E$32,5,0),1)</f>
        <v>1</v>
      </c>
      <c r="O59" s="63" t="str">
        <f xml:space="preserve">
IF(OR('Dados da OS'!$D$8="Selecione o tipo da contagem",ISBLANK('Dados da OS'!$D$8),B59="INM",B59="N/A",ISBLANK(B59),ISBLANK(C59),N59="VF"),"-",
   IF('Dados da OS'!$D$8=Parâmetros!$B$3,
      IF(OR(ISBLANK(D59),ISBLANK(F59)),"-",
         IF(L59="L","Baixa",IF(L59="A","Média",IF(L59="H","Alta","-")))),
      IF('Dados da OS'!$D$8=Parâmetros!$B$4,
         IF(OR(B59="ALI",B59="AIE"),"Baixa",IF(OR(B59="EE",B59="SE",B59="CE"),"Média","-")),
         IF(OR('Dados da OS'!$D$8=Parâmetros!$B$5,'Dados da OS'!$D$8=Parâmetros!$B$6),"-"))))</f>
        <v>-</v>
      </c>
      <c r="P59" s="59" t="str">
        <f xml:space="preserve">
IF(OR(ISBLANK(B59),ISBLANK(C59),B59="N/A",ISBLANK('Dados da OS'!$D$8)),"",
   IF(OR('Dados da OS'!$D$8=Parâmetros!$B$3,'Dados da OS'!$D$8=Parâmetros!$B$4),
      IF(OR(AND(B59="INM",N59&lt;&gt;"VF"),AND(N59="VF",B59&lt;&gt;"INM")),"",
        IF(AND(B59="INM",N59="VF"),IF(ISBLANK(H59),"",M59*H59),
        IF('Dados da OS'!$D$8=Parâmetros!$B$4,
           IF(OR(B59="CE",B59="EE"),4,IF(B59="SE",5,IF(B59="ALI",7,IF(B59="AIE",5,"")))),
        IF('Dados da OS'!$D$8=Parâmetros!$B$3,
           IF(OR(ISBLANK(D59),ISBLANK(F59)),"",
              IF(B59="ALI",IF(L59="L",7,IF(L59="A",10,15)),
                 IF(B59="AIE",IF(L59="L",5,IF(L59="A",7,10)),
                    IF(B59="SE",IF(L59="L",4,IF(L59="A",5,7)),
                       IF(OR(B59="EE",B59="CE"),IF(L59="L",3,IF(L59="A",4,6)),""))))))))),
   IF('Dados da OS'!$D$8=Parâmetros!$B$5,
      IF(OR(AND(B59="INM",N59&lt;&gt;"VF"),AND(N59="VF",B59&lt;&gt;"INM")),"",
         IF(B59="INM",IF(N59="VF",M59*H59,""),
            IF(B59="PE",4.6,
            IF(B59="AL",7,"")))),
   IF('Dados da OS'!$D$8=Parâmetros!$B$6,
      IF(B59="ALI",35,IF(B59="AIE",15,"")),""))
    )
)</f>
        <v/>
      </c>
      <c r="Q59" s="60" t="str">
        <f t="shared" si="5"/>
        <v/>
      </c>
      <c r="R59" s="61"/>
      <c r="S59" s="62"/>
      <c r="T59" s="80" t="s">
        <v>21</v>
      </c>
      <c r="U59" s="81"/>
      <c r="V59" s="99"/>
      <c r="W59" s="55"/>
      <c r="X59" s="55"/>
      <c r="Y59" s="56"/>
      <c r="Z59" s="55"/>
      <c r="AA59" s="56"/>
      <c r="AB59" s="55"/>
      <c r="AC59" s="57" t="str">
        <f t="shared" si="6"/>
        <v/>
      </c>
      <c r="AD59" s="57" t="str">
        <f t="shared" si="7"/>
        <v/>
      </c>
      <c r="AE59" s="57" t="str">
        <f xml:space="preserve">
IF(OR('Dados da OS'!$D$8=Parâmetros!$B$3,'Dados da OS'!$D$8=Parâmetros!$B$4),
  IF(OR(ISBLANK(X59),ISBLANK(Z59)),
     IF(OR(V59="ALI",V59="AIE"),"L",IF(ISBLANK(V59),"","A")),
     IF(V59="EE",IF(Z59&gt;=3,IF(X59&gt;=5,"H","A"),
     IF(Z59&gt;=2,IF(X59&gt;=16,"H",IF(X59&lt;=4,"L","A")),IF(X59&lt;=15,"L","A"))),
     IF(OR(V59="SE",V59="CE"),IF(Z59&gt;=4,IF(X59&gt;=6,"H","A"),IF(Z59&gt;=2,IF(X59&gt;=20,"H",IF(X59&lt;=5,"L","A")),IF(X59&lt;=19,"L","A"))),
     IF(OR(V59="ALI",V59="AIE"),IF(Z59&gt;=6,IF(X59&gt;=20,"H","A"),IF(Z59&gt;=2,IF(X59&gt;=51,"H",IF(X59&lt;=19,"L","A")),IF(X59&lt;=50,"L","A"))))))),
IF('Dados da OS'!$D$8=Parâmetros!$B$6,"Indicativa",
IF('Dados da OS'!$D$8=Parâmetros!$B$5,"PFS","")))</f>
        <v/>
      </c>
      <c r="AF59" s="57">
        <f>IFERROR(VLOOKUP(W59,'Fatores de Impacto e INMs'!$A$3:$D$32,3,0),1)</f>
        <v>1</v>
      </c>
      <c r="AG59" s="57">
        <f>IFERROR(VLOOKUP(W59,'Fatores de Impacto e INMs'!$A$3:$E$32,5,0),1)</f>
        <v>1</v>
      </c>
      <c r="AH59" s="82" t="str">
        <f xml:space="preserve">
IF(OR('Dados da OS'!$D$8="Selecione o tipo da contagem",ISBLANK('Dados da OS'!$D$8),V59="INM",V59="N/A",ISBLANK(V59),ISBLANK(W59),AG59="VF"),"-",
   IF('Dados da OS'!$D$8=Parâmetros!$B$3,
      IF(OR(ISBLANK(X59),ISBLANK(Z59)),"-",
         IF(AE59="L","Baixa",IF(AE59="A","Média",IF(AE59="H","Alta","-")))),
      IF('Dados da OS'!$D$8=Parâmetros!$B$4,
         IF(OR(V59="ALI",V59="AIE"),"Baixa",IF(OR(V59="EE",V59="SE",V59="CE"),"Média","-")),
         IF(OR('Dados da OS'!$D$8=Parâmetros!$B$5,'Dados da OS'!$D$8=Parâmetros!$B$6),"-"))))</f>
        <v>-</v>
      </c>
      <c r="AI59" s="83" t="str">
        <f xml:space="preserve">
IF(OR(ISBLANK(V59),ISBLANK(U59),ISBLANK(W59),V59="N/A",ISBLANK('Dados da OS'!$D$8)),"",
   IF(OR('Dados da OS'!$D$8=Parâmetros!$B$3,'Dados da OS'!$D$8=Parâmetros!$B$4),
      IF(OR(AND(V59="INM",AG59&lt;&gt;"VF"),AND(AG59="VF",V59&lt;&gt;"INM")),"",
        IF(AND(V59="INM",AG59="VF"),IF(ISBLANK(AB59),"",AF59*AB59),
        IF('Dados da OS'!$D$8=Parâmetros!$B$4,
           IF(OR(V59="CE",V59="EE"),4,IF(V59="SE",5,IF(V59="ALI",7,IF(V59="AIE",5,"")))),
        IF('Dados da OS'!$D$8=Parâmetros!$B$3,
           IF(OR(ISBLANK(X59),ISBLANK(Z59)),"",
              IF(V59="ALI",IF(AE59="L",7,IF(AE59="A",10,15)),
                 IF(V59="AIE",IF(AE59="L",5,IF(AE59="A",7,10)),
                    IF(V59="SE",IF(AE59="L",4,IF(AE59="A",5,7)),
                       IF(OR(V59="EE",V59="CE"),IF(AE59="L",3,IF(AE59="A",4,6)),""))))))))),
   IF('Dados da OS'!$D$8=Parâmetros!$B$5,
      IF(OR(AND(V59="INM",AG59&lt;&gt;"VF"),AND(AG59="VF",V59&lt;&gt;"INM")),"",
         IF(V59="INM",IF(AG59="VF",AF59*AB59,""),
            IF(V59="PE",4.6,
            IF(V59="AL",7,"")))),
   IF('Dados da OS'!$D$8=Parâmetros!$B$6,
      IF(V59="ALI",35,IF(V59="AIE",15,"")),""))
    )
)</f>
        <v/>
      </c>
      <c r="AJ59" s="82" t="str">
        <f t="shared" si="8"/>
        <v/>
      </c>
      <c r="AK59" s="84"/>
      <c r="AL59" s="85" t="s">
        <v>21</v>
      </c>
      <c r="AM59" s="86"/>
      <c r="AN59" s="85"/>
      <c r="AO59" s="87"/>
      <c r="AP59" s="85"/>
      <c r="AQ59" s="86"/>
      <c r="AR59" s="85"/>
    </row>
    <row r="60" spans="1:44" ht="15.75" customHeight="1">
      <c r="A60" s="54"/>
      <c r="B60" s="100"/>
      <c r="C60" s="55"/>
      <c r="D60" s="55"/>
      <c r="E60" s="56"/>
      <c r="F60" s="55"/>
      <c r="G60" s="56"/>
      <c r="H60" s="55"/>
      <c r="I60" s="64"/>
      <c r="J60" s="57" t="str">
        <f t="shared" si="11"/>
        <v/>
      </c>
      <c r="K60" s="57" t="str">
        <f t="shared" si="12"/>
        <v/>
      </c>
      <c r="L60" s="57" t="str">
        <f xml:space="preserve">
IF(OR('Dados da OS'!$D$8=Parâmetros!$B$3,'Dados da OS'!$D$8=Parâmetros!$B$4),
  IF(OR(ISBLANK(D60),ISBLANK(F60)),
     IF(OR(B60="ALI",B60="AIE"),"L",IF(ISBLANK(B60),"","A")),
     IF(B60="EE",IF(F60&gt;=3,IF(D60&gt;=5,"H","A"),
     IF(F60&gt;=2,IF(D60&gt;=16,"H",IF(D60&lt;=4,"L","A")),IF(D60&lt;=15,"L","A"))),
     IF(OR(B60="SE",B60="CE"),IF(F60&gt;=4,IF(D60&gt;=6,"H","A"),IF(F60&gt;=2,IF(D60&gt;=20,"H",IF(D60&lt;=5,"L","A")),IF(D60&lt;=19,"L","A"))),
     IF(OR(B60="ALI",B60="AIE"),IF(F60&gt;=6,IF(D60&gt;=20,"H","A"),IF(F60&gt;=2,IF(D60&gt;=51,"H",IF(D60&lt;=19,"L","A")),IF(D60&lt;=50,"L","A"))))))),
IF('Dados da OS'!$D$8=Parâmetros!$B$6,"Indicativa",
IF('Dados da OS'!$D$8=Parâmetros!$B$5,"PFS","")))</f>
        <v/>
      </c>
      <c r="M60" s="57">
        <f>IFERROR(VLOOKUP(C60,'Fatores de Impacto e INMs'!$A$3:$D$32,3,0),1)</f>
        <v>1</v>
      </c>
      <c r="N60" s="57">
        <f>IFERROR(VLOOKUP(C60,'Fatores de Impacto e INMs'!$A$3:$E$32,5,0),1)</f>
        <v>1</v>
      </c>
      <c r="O60" s="63" t="str">
        <f xml:space="preserve">
IF(OR('Dados da OS'!$D$8="Selecione o tipo da contagem",ISBLANK('Dados da OS'!$D$8),B60="INM",B60="N/A",ISBLANK(B60),ISBLANK(C60),N60="VF"),"-",
   IF('Dados da OS'!$D$8=Parâmetros!$B$3,
      IF(OR(ISBLANK(D60),ISBLANK(F60)),"-",
         IF(L60="L","Baixa",IF(L60="A","Média",IF(L60="H","Alta","-")))),
      IF('Dados da OS'!$D$8=Parâmetros!$B$4,
         IF(OR(B60="ALI",B60="AIE"),"Baixa",IF(OR(B60="EE",B60="SE",B60="CE"),"Média","-")),
         IF(OR('Dados da OS'!$D$8=Parâmetros!$B$5,'Dados da OS'!$D$8=Parâmetros!$B$6),"-"))))</f>
        <v>-</v>
      </c>
      <c r="P60" s="59" t="str">
        <f xml:space="preserve">
IF(OR(ISBLANK(B60),ISBLANK(C60),B60="N/A",ISBLANK('Dados da OS'!$D$8)),"",
   IF(OR('Dados da OS'!$D$8=Parâmetros!$B$3,'Dados da OS'!$D$8=Parâmetros!$B$4),
      IF(OR(AND(B60="INM",N60&lt;&gt;"VF"),AND(N60="VF",B60&lt;&gt;"INM")),"",
        IF(AND(B60="INM",N60="VF"),IF(ISBLANK(H60),"",M60*H60),
        IF('Dados da OS'!$D$8=Parâmetros!$B$4,
           IF(OR(B60="CE",B60="EE"),4,IF(B60="SE",5,IF(B60="ALI",7,IF(B60="AIE",5,"")))),
        IF('Dados da OS'!$D$8=Parâmetros!$B$3,
           IF(OR(ISBLANK(D60),ISBLANK(F60)),"",
              IF(B60="ALI",IF(L60="L",7,IF(L60="A",10,15)),
                 IF(B60="AIE",IF(L60="L",5,IF(L60="A",7,10)),
                    IF(B60="SE",IF(L60="L",4,IF(L60="A",5,7)),
                       IF(OR(B60="EE",B60="CE"),IF(L60="L",3,IF(L60="A",4,6)),""))))))))),
   IF('Dados da OS'!$D$8=Parâmetros!$B$5,
      IF(OR(AND(B60="INM",N60&lt;&gt;"VF"),AND(N60="VF",B60&lt;&gt;"INM")),"",
         IF(B60="INM",IF(N60="VF",M60*H60,""),
            IF(B60="PE",4.6,
            IF(B60="AL",7,"")))),
   IF('Dados da OS'!$D$8=Parâmetros!$B$6,
      IF(B60="ALI",35,IF(B60="AIE",15,"")),""))
    )
)</f>
        <v/>
      </c>
      <c r="Q60" s="60" t="str">
        <f t="shared" si="5"/>
        <v/>
      </c>
      <c r="R60" s="61"/>
      <c r="S60" s="62"/>
      <c r="T60" s="80" t="s">
        <v>21</v>
      </c>
      <c r="U60" s="81"/>
      <c r="V60" s="99"/>
      <c r="W60" s="55"/>
      <c r="X60" s="55"/>
      <c r="Y60" s="56"/>
      <c r="Z60" s="55"/>
      <c r="AA60" s="56"/>
      <c r="AB60" s="55"/>
      <c r="AC60" s="57" t="str">
        <f t="shared" si="6"/>
        <v/>
      </c>
      <c r="AD60" s="57" t="str">
        <f t="shared" si="7"/>
        <v/>
      </c>
      <c r="AE60" s="57" t="str">
        <f xml:space="preserve">
IF(OR('Dados da OS'!$D$8=Parâmetros!$B$3,'Dados da OS'!$D$8=Parâmetros!$B$4),
  IF(OR(ISBLANK(X60),ISBLANK(Z60)),
     IF(OR(V60="ALI",V60="AIE"),"L",IF(ISBLANK(V60),"","A")),
     IF(V60="EE",IF(Z60&gt;=3,IF(X60&gt;=5,"H","A"),
     IF(Z60&gt;=2,IF(X60&gt;=16,"H",IF(X60&lt;=4,"L","A")),IF(X60&lt;=15,"L","A"))),
     IF(OR(V60="SE",V60="CE"),IF(Z60&gt;=4,IF(X60&gt;=6,"H","A"),IF(Z60&gt;=2,IF(X60&gt;=20,"H",IF(X60&lt;=5,"L","A")),IF(X60&lt;=19,"L","A"))),
     IF(OR(V60="ALI",V60="AIE"),IF(Z60&gt;=6,IF(X60&gt;=20,"H","A"),IF(Z60&gt;=2,IF(X60&gt;=51,"H",IF(X60&lt;=19,"L","A")),IF(X60&lt;=50,"L","A"))))))),
IF('Dados da OS'!$D$8=Parâmetros!$B$6,"Indicativa",
IF('Dados da OS'!$D$8=Parâmetros!$B$5,"PFS","")))</f>
        <v/>
      </c>
      <c r="AF60" s="57">
        <f>IFERROR(VLOOKUP(W60,'Fatores de Impacto e INMs'!$A$3:$D$32,3,0),1)</f>
        <v>1</v>
      </c>
      <c r="AG60" s="57">
        <f>IFERROR(VLOOKUP(W60,'Fatores de Impacto e INMs'!$A$3:$E$32,5,0),1)</f>
        <v>1</v>
      </c>
      <c r="AH60" s="82" t="str">
        <f xml:space="preserve">
IF(OR('Dados da OS'!$D$8="Selecione o tipo da contagem",ISBLANK('Dados da OS'!$D$8),V60="INM",V60="N/A",ISBLANK(V60),ISBLANK(W60),AG60="VF"),"-",
   IF('Dados da OS'!$D$8=Parâmetros!$B$3,
      IF(OR(ISBLANK(X60),ISBLANK(Z60)),"-",
         IF(AE60="L","Baixa",IF(AE60="A","Média",IF(AE60="H","Alta","-")))),
      IF('Dados da OS'!$D$8=Parâmetros!$B$4,
         IF(OR(V60="ALI",V60="AIE"),"Baixa",IF(OR(V60="EE",V60="SE",V60="CE"),"Média","-")),
         IF(OR('Dados da OS'!$D$8=Parâmetros!$B$5,'Dados da OS'!$D$8=Parâmetros!$B$6),"-"))))</f>
        <v>-</v>
      </c>
      <c r="AI60" s="83" t="str">
        <f xml:space="preserve">
IF(OR(ISBLANK(V60),ISBLANK(U60),ISBLANK(W60),V60="N/A",ISBLANK('Dados da OS'!$D$8)),"",
   IF(OR('Dados da OS'!$D$8=Parâmetros!$B$3,'Dados da OS'!$D$8=Parâmetros!$B$4),
      IF(OR(AND(V60="INM",AG60&lt;&gt;"VF"),AND(AG60="VF",V60&lt;&gt;"INM")),"",
        IF(AND(V60="INM",AG60="VF"),IF(ISBLANK(AB60),"",AF60*AB60),
        IF('Dados da OS'!$D$8=Parâmetros!$B$4,
           IF(OR(V60="CE",V60="EE"),4,IF(V60="SE",5,IF(V60="ALI",7,IF(V60="AIE",5,"")))),
        IF('Dados da OS'!$D$8=Parâmetros!$B$3,
           IF(OR(ISBLANK(X60),ISBLANK(Z60)),"",
              IF(V60="ALI",IF(AE60="L",7,IF(AE60="A",10,15)),
                 IF(V60="AIE",IF(AE60="L",5,IF(AE60="A",7,10)),
                    IF(V60="SE",IF(AE60="L",4,IF(AE60="A",5,7)),
                       IF(OR(V60="EE",V60="CE"),IF(AE60="L",3,IF(AE60="A",4,6)),""))))))))),
   IF('Dados da OS'!$D$8=Parâmetros!$B$5,
      IF(OR(AND(V60="INM",AG60&lt;&gt;"VF"),AND(AG60="VF",V60&lt;&gt;"INM")),"",
         IF(V60="INM",IF(AG60="VF",AF60*AB60,""),
            IF(V60="PE",4.6,
            IF(V60="AL",7,"")))),
   IF('Dados da OS'!$D$8=Parâmetros!$B$6,
      IF(V60="ALI",35,IF(V60="AIE",15,"")),""))
    )
)</f>
        <v/>
      </c>
      <c r="AJ60" s="82" t="str">
        <f t="shared" si="8"/>
        <v/>
      </c>
      <c r="AK60" s="84"/>
      <c r="AL60" s="85" t="s">
        <v>21</v>
      </c>
      <c r="AM60" s="86"/>
      <c r="AN60" s="85"/>
      <c r="AO60" s="87"/>
      <c r="AP60" s="85"/>
      <c r="AQ60" s="86"/>
      <c r="AR60" s="85"/>
    </row>
    <row r="61" spans="1:44" ht="15.75" customHeight="1">
      <c r="A61" s="54"/>
      <c r="B61" s="100"/>
      <c r="C61" s="55"/>
      <c r="D61" s="55"/>
      <c r="E61" s="56"/>
      <c r="F61" s="55"/>
      <c r="G61" s="56"/>
      <c r="H61" s="55"/>
      <c r="I61" s="64"/>
      <c r="J61" s="57" t="str">
        <f t="shared" si="11"/>
        <v/>
      </c>
      <c r="K61" s="57" t="str">
        <f t="shared" si="12"/>
        <v/>
      </c>
      <c r="L61" s="57" t="str">
        <f xml:space="preserve">
IF(OR('Dados da OS'!$D$8=Parâmetros!$B$3,'Dados da OS'!$D$8=Parâmetros!$B$4),
  IF(OR(ISBLANK(D61),ISBLANK(F61)),
     IF(OR(B61="ALI",B61="AIE"),"L",IF(ISBLANK(B61),"","A")),
     IF(B61="EE",IF(F61&gt;=3,IF(D61&gt;=5,"H","A"),
     IF(F61&gt;=2,IF(D61&gt;=16,"H",IF(D61&lt;=4,"L","A")),IF(D61&lt;=15,"L","A"))),
     IF(OR(B61="SE",B61="CE"),IF(F61&gt;=4,IF(D61&gt;=6,"H","A"),IF(F61&gt;=2,IF(D61&gt;=20,"H",IF(D61&lt;=5,"L","A")),IF(D61&lt;=19,"L","A"))),
     IF(OR(B61="ALI",B61="AIE"),IF(F61&gt;=6,IF(D61&gt;=20,"H","A"),IF(F61&gt;=2,IF(D61&gt;=51,"H",IF(D61&lt;=19,"L","A")),IF(D61&lt;=50,"L","A"))))))),
IF('Dados da OS'!$D$8=Parâmetros!$B$6,"Indicativa",
IF('Dados da OS'!$D$8=Parâmetros!$B$5,"PFS","")))</f>
        <v/>
      </c>
      <c r="M61" s="57">
        <f>IFERROR(VLOOKUP(C61,'Fatores de Impacto e INMs'!$A$3:$D$32,3,0),1)</f>
        <v>1</v>
      </c>
      <c r="N61" s="57">
        <f>IFERROR(VLOOKUP(C61,'Fatores de Impacto e INMs'!$A$3:$E$32,5,0),1)</f>
        <v>1</v>
      </c>
      <c r="O61" s="63" t="str">
        <f xml:space="preserve">
IF(OR('Dados da OS'!$D$8="Selecione o tipo da contagem",ISBLANK('Dados da OS'!$D$8),B61="INM",B61="N/A",ISBLANK(B61),ISBLANK(C61),N61="VF"),"-",
   IF('Dados da OS'!$D$8=Parâmetros!$B$3,
      IF(OR(ISBLANK(D61),ISBLANK(F61)),"-",
         IF(L61="L","Baixa",IF(L61="A","Média",IF(L61="H","Alta","-")))),
      IF('Dados da OS'!$D$8=Parâmetros!$B$4,
         IF(OR(B61="ALI",B61="AIE"),"Baixa",IF(OR(B61="EE",B61="SE",B61="CE"),"Média","-")),
         IF(OR('Dados da OS'!$D$8=Parâmetros!$B$5,'Dados da OS'!$D$8=Parâmetros!$B$6),"-"))))</f>
        <v>-</v>
      </c>
      <c r="P61" s="59" t="str">
        <f xml:space="preserve">
IF(OR(ISBLANK(B61),ISBLANK(C61),B61="N/A",ISBLANK('Dados da OS'!$D$8)),"",
   IF(OR('Dados da OS'!$D$8=Parâmetros!$B$3,'Dados da OS'!$D$8=Parâmetros!$B$4),
      IF(OR(AND(B61="INM",N61&lt;&gt;"VF"),AND(N61="VF",B61&lt;&gt;"INM")),"",
        IF(AND(B61="INM",N61="VF"),IF(ISBLANK(H61),"",M61*H61),
        IF('Dados da OS'!$D$8=Parâmetros!$B$4,
           IF(OR(B61="CE",B61="EE"),4,IF(B61="SE",5,IF(B61="ALI",7,IF(B61="AIE",5,"")))),
        IF('Dados da OS'!$D$8=Parâmetros!$B$3,
           IF(OR(ISBLANK(D61),ISBLANK(F61)),"",
              IF(B61="ALI",IF(L61="L",7,IF(L61="A",10,15)),
                 IF(B61="AIE",IF(L61="L",5,IF(L61="A",7,10)),
                    IF(B61="SE",IF(L61="L",4,IF(L61="A",5,7)),
                       IF(OR(B61="EE",B61="CE"),IF(L61="L",3,IF(L61="A",4,6)),""))))))))),
   IF('Dados da OS'!$D$8=Parâmetros!$B$5,
      IF(OR(AND(B61="INM",N61&lt;&gt;"VF"),AND(N61="VF",B61&lt;&gt;"INM")),"",
         IF(B61="INM",IF(N61="VF",M61*H61,""),
            IF(B61="PE",4.6,
            IF(B61="AL",7,"")))),
   IF('Dados da OS'!$D$8=Parâmetros!$B$6,
      IF(B61="ALI",35,IF(B61="AIE",15,"")),""))
    )
)</f>
        <v/>
      </c>
      <c r="Q61" s="60" t="str">
        <f t="shared" si="5"/>
        <v/>
      </c>
      <c r="R61" s="61"/>
      <c r="S61" s="62"/>
      <c r="T61" s="80" t="s">
        <v>21</v>
      </c>
      <c r="U61" s="81"/>
      <c r="V61" s="99"/>
      <c r="W61" s="55"/>
      <c r="X61" s="55"/>
      <c r="Y61" s="56"/>
      <c r="Z61" s="55"/>
      <c r="AA61" s="56"/>
      <c r="AB61" s="55"/>
      <c r="AC61" s="57" t="str">
        <f t="shared" si="6"/>
        <v/>
      </c>
      <c r="AD61" s="57" t="str">
        <f t="shared" si="7"/>
        <v/>
      </c>
      <c r="AE61" s="57" t="str">
        <f xml:space="preserve">
IF(OR('Dados da OS'!$D$8=Parâmetros!$B$3,'Dados da OS'!$D$8=Parâmetros!$B$4),
  IF(OR(ISBLANK(X61),ISBLANK(Z61)),
     IF(OR(V61="ALI",V61="AIE"),"L",IF(ISBLANK(V61),"","A")),
     IF(V61="EE",IF(Z61&gt;=3,IF(X61&gt;=5,"H","A"),
     IF(Z61&gt;=2,IF(X61&gt;=16,"H",IF(X61&lt;=4,"L","A")),IF(X61&lt;=15,"L","A"))),
     IF(OR(V61="SE",V61="CE"),IF(Z61&gt;=4,IF(X61&gt;=6,"H","A"),IF(Z61&gt;=2,IF(X61&gt;=20,"H",IF(X61&lt;=5,"L","A")),IF(X61&lt;=19,"L","A"))),
     IF(OR(V61="ALI",V61="AIE"),IF(Z61&gt;=6,IF(X61&gt;=20,"H","A"),IF(Z61&gt;=2,IF(X61&gt;=51,"H",IF(X61&lt;=19,"L","A")),IF(X61&lt;=50,"L","A"))))))),
IF('Dados da OS'!$D$8=Parâmetros!$B$6,"Indicativa",
IF('Dados da OS'!$D$8=Parâmetros!$B$5,"PFS","")))</f>
        <v/>
      </c>
      <c r="AF61" s="57">
        <f>IFERROR(VLOOKUP(W61,'Fatores de Impacto e INMs'!$A$3:$D$32,3,0),1)</f>
        <v>1</v>
      </c>
      <c r="AG61" s="57">
        <f>IFERROR(VLOOKUP(W61,'Fatores de Impacto e INMs'!$A$3:$E$32,5,0),1)</f>
        <v>1</v>
      </c>
      <c r="AH61" s="82" t="str">
        <f xml:space="preserve">
IF(OR('Dados da OS'!$D$8="Selecione o tipo da contagem",ISBLANK('Dados da OS'!$D$8),V61="INM",V61="N/A",ISBLANK(V61),ISBLANK(W61),AG61="VF"),"-",
   IF('Dados da OS'!$D$8=Parâmetros!$B$3,
      IF(OR(ISBLANK(X61),ISBLANK(Z61)),"-",
         IF(AE61="L","Baixa",IF(AE61="A","Média",IF(AE61="H","Alta","-")))),
      IF('Dados da OS'!$D$8=Parâmetros!$B$4,
         IF(OR(V61="ALI",V61="AIE"),"Baixa",IF(OR(V61="EE",V61="SE",V61="CE"),"Média","-")),
         IF(OR('Dados da OS'!$D$8=Parâmetros!$B$5,'Dados da OS'!$D$8=Parâmetros!$B$6),"-"))))</f>
        <v>-</v>
      </c>
      <c r="AI61" s="83" t="str">
        <f xml:space="preserve">
IF(OR(ISBLANK(V61),ISBLANK(U61),ISBLANK(W61),V61="N/A",ISBLANK('Dados da OS'!$D$8)),"",
   IF(OR('Dados da OS'!$D$8=Parâmetros!$B$3,'Dados da OS'!$D$8=Parâmetros!$B$4),
      IF(OR(AND(V61="INM",AG61&lt;&gt;"VF"),AND(AG61="VF",V61&lt;&gt;"INM")),"",
        IF(AND(V61="INM",AG61="VF"),IF(ISBLANK(AB61),"",AF61*AB61),
        IF('Dados da OS'!$D$8=Parâmetros!$B$4,
           IF(OR(V61="CE",V61="EE"),4,IF(V61="SE",5,IF(V61="ALI",7,IF(V61="AIE",5,"")))),
        IF('Dados da OS'!$D$8=Parâmetros!$B$3,
           IF(OR(ISBLANK(X61),ISBLANK(Z61)),"",
              IF(V61="ALI",IF(AE61="L",7,IF(AE61="A",10,15)),
                 IF(V61="AIE",IF(AE61="L",5,IF(AE61="A",7,10)),
                    IF(V61="SE",IF(AE61="L",4,IF(AE61="A",5,7)),
                       IF(OR(V61="EE",V61="CE"),IF(AE61="L",3,IF(AE61="A",4,6)),""))))))))),
   IF('Dados da OS'!$D$8=Parâmetros!$B$5,
      IF(OR(AND(V61="INM",AG61&lt;&gt;"VF"),AND(AG61="VF",V61&lt;&gt;"INM")),"",
         IF(V61="INM",IF(AG61="VF",AF61*AB61,""),
            IF(V61="PE",4.6,
            IF(V61="AL",7,"")))),
   IF('Dados da OS'!$D$8=Parâmetros!$B$6,
      IF(V61="ALI",35,IF(V61="AIE",15,"")),""))
    )
)</f>
        <v/>
      </c>
      <c r="AJ61" s="82" t="str">
        <f t="shared" si="8"/>
        <v/>
      </c>
      <c r="AK61" s="84"/>
      <c r="AL61" s="85" t="s">
        <v>21</v>
      </c>
      <c r="AM61" s="86"/>
      <c r="AN61" s="85"/>
      <c r="AO61" s="87"/>
      <c r="AP61" s="85"/>
      <c r="AQ61" s="86"/>
      <c r="AR61" s="85"/>
    </row>
    <row r="62" spans="1:44" ht="15.75" customHeight="1">
      <c r="A62" s="54"/>
      <c r="B62" s="100"/>
      <c r="C62" s="55"/>
      <c r="D62" s="55"/>
      <c r="E62" s="56"/>
      <c r="F62" s="55"/>
      <c r="G62" s="56"/>
      <c r="H62" s="55"/>
      <c r="I62" s="64"/>
      <c r="J62" s="57" t="str">
        <f t="shared" si="11"/>
        <v/>
      </c>
      <c r="K62" s="57" t="str">
        <f t="shared" si="12"/>
        <v/>
      </c>
      <c r="L62" s="57" t="str">
        <f xml:space="preserve">
IF(OR('Dados da OS'!$D$8=Parâmetros!$B$3,'Dados da OS'!$D$8=Parâmetros!$B$4),
  IF(OR(ISBLANK(D62),ISBLANK(F62)),
     IF(OR(B62="ALI",B62="AIE"),"L",IF(ISBLANK(B62),"","A")),
     IF(B62="EE",IF(F62&gt;=3,IF(D62&gt;=5,"H","A"),
     IF(F62&gt;=2,IF(D62&gt;=16,"H",IF(D62&lt;=4,"L","A")),IF(D62&lt;=15,"L","A"))),
     IF(OR(B62="SE",B62="CE"),IF(F62&gt;=4,IF(D62&gt;=6,"H","A"),IF(F62&gt;=2,IF(D62&gt;=20,"H",IF(D62&lt;=5,"L","A")),IF(D62&lt;=19,"L","A"))),
     IF(OR(B62="ALI",B62="AIE"),IF(F62&gt;=6,IF(D62&gt;=20,"H","A"),IF(F62&gt;=2,IF(D62&gt;=51,"H",IF(D62&lt;=19,"L","A")),IF(D62&lt;=50,"L","A"))))))),
IF('Dados da OS'!$D$8=Parâmetros!$B$6,"Indicativa",
IF('Dados da OS'!$D$8=Parâmetros!$B$5,"PFS","")))</f>
        <v/>
      </c>
      <c r="M62" s="57">
        <f>IFERROR(VLOOKUP(C62,'Fatores de Impacto e INMs'!$A$3:$D$32,3,0),1)</f>
        <v>1</v>
      </c>
      <c r="N62" s="57">
        <f>IFERROR(VLOOKUP(C62,'Fatores de Impacto e INMs'!$A$3:$E$32,5,0),1)</f>
        <v>1</v>
      </c>
      <c r="O62" s="63" t="str">
        <f xml:space="preserve">
IF(OR('Dados da OS'!$D$8="Selecione o tipo da contagem",ISBLANK('Dados da OS'!$D$8),B62="INM",B62="N/A",ISBLANK(B62),ISBLANK(C62),N62="VF"),"-",
   IF('Dados da OS'!$D$8=Parâmetros!$B$3,
      IF(OR(ISBLANK(D62),ISBLANK(F62)),"-",
         IF(L62="L","Baixa",IF(L62="A","Média",IF(L62="H","Alta","-")))),
      IF('Dados da OS'!$D$8=Parâmetros!$B$4,
         IF(OR(B62="ALI",B62="AIE"),"Baixa",IF(OR(B62="EE",B62="SE",B62="CE"),"Média","-")),
         IF(OR('Dados da OS'!$D$8=Parâmetros!$B$5,'Dados da OS'!$D$8=Parâmetros!$B$6),"-"))))</f>
        <v>-</v>
      </c>
      <c r="P62" s="59" t="str">
        <f xml:space="preserve">
IF(OR(ISBLANK(B62),ISBLANK(C62),B62="N/A",ISBLANK('Dados da OS'!$D$8)),"",
   IF(OR('Dados da OS'!$D$8=Parâmetros!$B$3,'Dados da OS'!$D$8=Parâmetros!$B$4),
      IF(OR(AND(B62="INM",N62&lt;&gt;"VF"),AND(N62="VF",B62&lt;&gt;"INM")),"",
        IF(AND(B62="INM",N62="VF"),IF(ISBLANK(H62),"",M62*H62),
        IF('Dados da OS'!$D$8=Parâmetros!$B$4,
           IF(OR(B62="CE",B62="EE"),4,IF(B62="SE",5,IF(B62="ALI",7,IF(B62="AIE",5,"")))),
        IF('Dados da OS'!$D$8=Parâmetros!$B$3,
           IF(OR(ISBLANK(D62),ISBLANK(F62)),"",
              IF(B62="ALI",IF(L62="L",7,IF(L62="A",10,15)),
                 IF(B62="AIE",IF(L62="L",5,IF(L62="A",7,10)),
                    IF(B62="SE",IF(L62="L",4,IF(L62="A",5,7)),
                       IF(OR(B62="EE",B62="CE"),IF(L62="L",3,IF(L62="A",4,6)),""))))))))),
   IF('Dados da OS'!$D$8=Parâmetros!$B$5,
      IF(OR(AND(B62="INM",N62&lt;&gt;"VF"),AND(N62="VF",B62&lt;&gt;"INM")),"",
         IF(B62="INM",IF(N62="VF",M62*H62,""),
            IF(B62="PE",4.6,
            IF(B62="AL",7,"")))),
   IF('Dados da OS'!$D$8=Parâmetros!$B$6,
      IF(B62="ALI",35,IF(B62="AIE",15,"")),""))
    )
)</f>
        <v/>
      </c>
      <c r="Q62" s="60" t="str">
        <f t="shared" si="5"/>
        <v/>
      </c>
      <c r="R62" s="61"/>
      <c r="S62" s="62"/>
      <c r="T62" s="80" t="s">
        <v>21</v>
      </c>
      <c r="U62" s="81"/>
      <c r="V62" s="99"/>
      <c r="W62" s="55"/>
      <c r="X62" s="55"/>
      <c r="Y62" s="56"/>
      <c r="Z62" s="55"/>
      <c r="AA62" s="56"/>
      <c r="AB62" s="55"/>
      <c r="AC62" s="57" t="str">
        <f t="shared" si="6"/>
        <v/>
      </c>
      <c r="AD62" s="57" t="str">
        <f t="shared" si="7"/>
        <v/>
      </c>
      <c r="AE62" s="57" t="str">
        <f xml:space="preserve">
IF(OR('Dados da OS'!$D$8=Parâmetros!$B$3,'Dados da OS'!$D$8=Parâmetros!$B$4),
  IF(OR(ISBLANK(X62),ISBLANK(Z62)),
     IF(OR(V62="ALI",V62="AIE"),"L",IF(ISBLANK(V62),"","A")),
     IF(V62="EE",IF(Z62&gt;=3,IF(X62&gt;=5,"H","A"),
     IF(Z62&gt;=2,IF(X62&gt;=16,"H",IF(X62&lt;=4,"L","A")),IF(X62&lt;=15,"L","A"))),
     IF(OR(V62="SE",V62="CE"),IF(Z62&gt;=4,IF(X62&gt;=6,"H","A"),IF(Z62&gt;=2,IF(X62&gt;=20,"H",IF(X62&lt;=5,"L","A")),IF(X62&lt;=19,"L","A"))),
     IF(OR(V62="ALI",V62="AIE"),IF(Z62&gt;=6,IF(X62&gt;=20,"H","A"),IF(Z62&gt;=2,IF(X62&gt;=51,"H",IF(X62&lt;=19,"L","A")),IF(X62&lt;=50,"L","A"))))))),
IF('Dados da OS'!$D$8=Parâmetros!$B$6,"Indicativa",
IF('Dados da OS'!$D$8=Parâmetros!$B$5,"PFS","")))</f>
        <v/>
      </c>
      <c r="AF62" s="57">
        <f>IFERROR(VLOOKUP(W62,'Fatores de Impacto e INMs'!$A$3:$D$32,3,0),1)</f>
        <v>1</v>
      </c>
      <c r="AG62" s="57">
        <f>IFERROR(VLOOKUP(W62,'Fatores de Impacto e INMs'!$A$3:$E$32,5,0),1)</f>
        <v>1</v>
      </c>
      <c r="AH62" s="82" t="str">
        <f xml:space="preserve">
IF(OR('Dados da OS'!$D$8="Selecione o tipo da contagem",ISBLANK('Dados da OS'!$D$8),V62="INM",V62="N/A",ISBLANK(V62),ISBLANK(W62),AG62="VF"),"-",
   IF('Dados da OS'!$D$8=Parâmetros!$B$3,
      IF(OR(ISBLANK(X62),ISBLANK(Z62)),"-",
         IF(AE62="L","Baixa",IF(AE62="A","Média",IF(AE62="H","Alta","-")))),
      IF('Dados da OS'!$D$8=Parâmetros!$B$4,
         IF(OR(V62="ALI",V62="AIE"),"Baixa",IF(OR(V62="EE",V62="SE",V62="CE"),"Média","-")),
         IF(OR('Dados da OS'!$D$8=Parâmetros!$B$5,'Dados da OS'!$D$8=Parâmetros!$B$6),"-"))))</f>
        <v>-</v>
      </c>
      <c r="AI62" s="83" t="str">
        <f xml:space="preserve">
IF(OR(ISBLANK(V62),ISBLANK(U62),ISBLANK(W62),V62="N/A",ISBLANK('Dados da OS'!$D$8)),"",
   IF(OR('Dados da OS'!$D$8=Parâmetros!$B$3,'Dados da OS'!$D$8=Parâmetros!$B$4),
      IF(OR(AND(V62="INM",AG62&lt;&gt;"VF"),AND(AG62="VF",V62&lt;&gt;"INM")),"",
        IF(AND(V62="INM",AG62="VF"),IF(ISBLANK(AB62),"",AF62*AB62),
        IF('Dados da OS'!$D$8=Parâmetros!$B$4,
           IF(OR(V62="CE",V62="EE"),4,IF(V62="SE",5,IF(V62="ALI",7,IF(V62="AIE",5,"")))),
        IF('Dados da OS'!$D$8=Parâmetros!$B$3,
           IF(OR(ISBLANK(X62),ISBLANK(Z62)),"",
              IF(V62="ALI",IF(AE62="L",7,IF(AE62="A",10,15)),
                 IF(V62="AIE",IF(AE62="L",5,IF(AE62="A",7,10)),
                    IF(V62="SE",IF(AE62="L",4,IF(AE62="A",5,7)),
                       IF(OR(V62="EE",V62="CE"),IF(AE62="L",3,IF(AE62="A",4,6)),""))))))))),
   IF('Dados da OS'!$D$8=Parâmetros!$B$5,
      IF(OR(AND(V62="INM",AG62&lt;&gt;"VF"),AND(AG62="VF",V62&lt;&gt;"INM")),"",
         IF(V62="INM",IF(AG62="VF",AF62*AB62,""),
            IF(V62="PE",4.6,
            IF(V62="AL",7,"")))),
   IF('Dados da OS'!$D$8=Parâmetros!$B$6,
      IF(V62="ALI",35,IF(V62="AIE",15,"")),""))
    )
)</f>
        <v/>
      </c>
      <c r="AJ62" s="82" t="str">
        <f t="shared" si="8"/>
        <v/>
      </c>
      <c r="AK62" s="84"/>
      <c r="AL62" s="85" t="s">
        <v>21</v>
      </c>
      <c r="AM62" s="86"/>
      <c r="AN62" s="85"/>
      <c r="AO62" s="87"/>
      <c r="AP62" s="85"/>
      <c r="AQ62" s="86"/>
      <c r="AR62" s="85"/>
    </row>
    <row r="63" spans="1:44" ht="15.75" customHeight="1">
      <c r="A63" s="54"/>
      <c r="B63" s="100"/>
      <c r="C63" s="55"/>
      <c r="D63" s="55"/>
      <c r="E63" s="56"/>
      <c r="F63" s="55"/>
      <c r="G63" s="56"/>
      <c r="H63" s="55"/>
      <c r="I63" s="64"/>
      <c r="J63" s="57" t="str">
        <f t="shared" si="11"/>
        <v/>
      </c>
      <c r="K63" s="57" t="str">
        <f t="shared" si="12"/>
        <v/>
      </c>
      <c r="L63" s="57" t="str">
        <f xml:space="preserve">
IF(OR('Dados da OS'!$D$8=Parâmetros!$B$3,'Dados da OS'!$D$8=Parâmetros!$B$4),
  IF(OR(ISBLANK(D63),ISBLANK(F63)),
     IF(OR(B63="ALI",B63="AIE"),"L",IF(ISBLANK(B63),"","A")),
     IF(B63="EE",IF(F63&gt;=3,IF(D63&gt;=5,"H","A"),
     IF(F63&gt;=2,IF(D63&gt;=16,"H",IF(D63&lt;=4,"L","A")),IF(D63&lt;=15,"L","A"))),
     IF(OR(B63="SE",B63="CE"),IF(F63&gt;=4,IF(D63&gt;=6,"H","A"),IF(F63&gt;=2,IF(D63&gt;=20,"H",IF(D63&lt;=5,"L","A")),IF(D63&lt;=19,"L","A"))),
     IF(OR(B63="ALI",B63="AIE"),IF(F63&gt;=6,IF(D63&gt;=20,"H","A"),IF(F63&gt;=2,IF(D63&gt;=51,"H",IF(D63&lt;=19,"L","A")),IF(D63&lt;=50,"L","A"))))))),
IF('Dados da OS'!$D$8=Parâmetros!$B$6,"Indicativa",
IF('Dados da OS'!$D$8=Parâmetros!$B$5,"PFS","")))</f>
        <v/>
      </c>
      <c r="M63" s="57">
        <f>IFERROR(VLOOKUP(C63,'Fatores de Impacto e INMs'!$A$3:$D$32,3,0),1)</f>
        <v>1</v>
      </c>
      <c r="N63" s="57">
        <f>IFERROR(VLOOKUP(C63,'Fatores de Impacto e INMs'!$A$3:$E$32,5,0),1)</f>
        <v>1</v>
      </c>
      <c r="O63" s="63" t="str">
        <f xml:space="preserve">
IF(OR('Dados da OS'!$D$8="Selecione o tipo da contagem",ISBLANK('Dados da OS'!$D$8),B63="INM",B63="N/A",ISBLANK(B63),ISBLANK(C63),N63="VF"),"-",
   IF('Dados da OS'!$D$8=Parâmetros!$B$3,
      IF(OR(ISBLANK(D63),ISBLANK(F63)),"-",
         IF(L63="L","Baixa",IF(L63="A","Média",IF(L63="H","Alta","-")))),
      IF('Dados da OS'!$D$8=Parâmetros!$B$4,
         IF(OR(B63="ALI",B63="AIE"),"Baixa",IF(OR(B63="EE",B63="SE",B63="CE"),"Média","-")),
         IF(OR('Dados da OS'!$D$8=Parâmetros!$B$5,'Dados da OS'!$D$8=Parâmetros!$B$6),"-"))))</f>
        <v>-</v>
      </c>
      <c r="P63" s="59" t="str">
        <f xml:space="preserve">
IF(OR(ISBLANK(B63),ISBLANK(C63),B63="N/A",ISBLANK('Dados da OS'!$D$8)),"",
   IF(OR('Dados da OS'!$D$8=Parâmetros!$B$3,'Dados da OS'!$D$8=Parâmetros!$B$4),
      IF(OR(AND(B63="INM",N63&lt;&gt;"VF"),AND(N63="VF",B63&lt;&gt;"INM")),"",
        IF(AND(B63="INM",N63="VF"),IF(ISBLANK(H63),"",M63*H63),
        IF('Dados da OS'!$D$8=Parâmetros!$B$4,
           IF(OR(B63="CE",B63="EE"),4,IF(B63="SE",5,IF(B63="ALI",7,IF(B63="AIE",5,"")))),
        IF('Dados da OS'!$D$8=Parâmetros!$B$3,
           IF(OR(ISBLANK(D63),ISBLANK(F63)),"",
              IF(B63="ALI",IF(L63="L",7,IF(L63="A",10,15)),
                 IF(B63="AIE",IF(L63="L",5,IF(L63="A",7,10)),
                    IF(B63="SE",IF(L63="L",4,IF(L63="A",5,7)),
                       IF(OR(B63="EE",B63="CE"),IF(L63="L",3,IF(L63="A",4,6)),""))))))))),
   IF('Dados da OS'!$D$8=Parâmetros!$B$5,
      IF(OR(AND(B63="INM",N63&lt;&gt;"VF"),AND(N63="VF",B63&lt;&gt;"INM")),"",
         IF(B63="INM",IF(N63="VF",M63*H63,""),
            IF(B63="PE",4.6,
            IF(B63="AL",7,"")))),
   IF('Dados da OS'!$D$8=Parâmetros!$B$6,
      IF(B63="ALI",35,IF(B63="AIE",15,"")),""))
    )
)</f>
        <v/>
      </c>
      <c r="Q63" s="60" t="str">
        <f t="shared" si="5"/>
        <v/>
      </c>
      <c r="R63" s="61"/>
      <c r="S63" s="62"/>
      <c r="T63" s="80" t="s">
        <v>21</v>
      </c>
      <c r="U63" s="81"/>
      <c r="V63" s="99"/>
      <c r="W63" s="55"/>
      <c r="X63" s="55"/>
      <c r="Y63" s="56"/>
      <c r="Z63" s="55"/>
      <c r="AA63" s="56"/>
      <c r="AB63" s="55"/>
      <c r="AC63" s="57" t="str">
        <f t="shared" si="6"/>
        <v/>
      </c>
      <c r="AD63" s="57" t="str">
        <f t="shared" si="7"/>
        <v/>
      </c>
      <c r="AE63" s="57" t="str">
        <f xml:space="preserve">
IF(OR('Dados da OS'!$D$8=Parâmetros!$B$3,'Dados da OS'!$D$8=Parâmetros!$B$4),
  IF(OR(ISBLANK(X63),ISBLANK(Z63)),
     IF(OR(V63="ALI",V63="AIE"),"L",IF(ISBLANK(V63),"","A")),
     IF(V63="EE",IF(Z63&gt;=3,IF(X63&gt;=5,"H","A"),
     IF(Z63&gt;=2,IF(X63&gt;=16,"H",IF(X63&lt;=4,"L","A")),IF(X63&lt;=15,"L","A"))),
     IF(OR(V63="SE",V63="CE"),IF(Z63&gt;=4,IF(X63&gt;=6,"H","A"),IF(Z63&gt;=2,IF(X63&gt;=20,"H",IF(X63&lt;=5,"L","A")),IF(X63&lt;=19,"L","A"))),
     IF(OR(V63="ALI",V63="AIE"),IF(Z63&gt;=6,IF(X63&gt;=20,"H","A"),IF(Z63&gt;=2,IF(X63&gt;=51,"H",IF(X63&lt;=19,"L","A")),IF(X63&lt;=50,"L","A"))))))),
IF('Dados da OS'!$D$8=Parâmetros!$B$6,"Indicativa",
IF('Dados da OS'!$D$8=Parâmetros!$B$5,"PFS","")))</f>
        <v/>
      </c>
      <c r="AF63" s="57">
        <f>IFERROR(VLOOKUP(W63,'Fatores de Impacto e INMs'!$A$3:$D$32,3,0),1)</f>
        <v>1</v>
      </c>
      <c r="AG63" s="57">
        <f>IFERROR(VLOOKUP(W63,'Fatores de Impacto e INMs'!$A$3:$E$32,5,0),1)</f>
        <v>1</v>
      </c>
      <c r="AH63" s="82" t="str">
        <f xml:space="preserve">
IF(OR('Dados da OS'!$D$8="Selecione o tipo da contagem",ISBLANK('Dados da OS'!$D$8),V63="INM",V63="N/A",ISBLANK(V63),ISBLANK(W63),AG63="VF"),"-",
   IF('Dados da OS'!$D$8=Parâmetros!$B$3,
      IF(OR(ISBLANK(X63),ISBLANK(Z63)),"-",
         IF(AE63="L","Baixa",IF(AE63="A","Média",IF(AE63="H","Alta","-")))),
      IF('Dados da OS'!$D$8=Parâmetros!$B$4,
         IF(OR(V63="ALI",V63="AIE"),"Baixa",IF(OR(V63="EE",V63="SE",V63="CE"),"Média","-")),
         IF(OR('Dados da OS'!$D$8=Parâmetros!$B$5,'Dados da OS'!$D$8=Parâmetros!$B$6),"-"))))</f>
        <v>-</v>
      </c>
      <c r="AI63" s="83" t="str">
        <f xml:space="preserve">
IF(OR(ISBLANK(V63),ISBLANK(U63),ISBLANK(W63),V63="N/A",ISBLANK('Dados da OS'!$D$8)),"",
   IF(OR('Dados da OS'!$D$8=Parâmetros!$B$3,'Dados da OS'!$D$8=Parâmetros!$B$4),
      IF(OR(AND(V63="INM",AG63&lt;&gt;"VF"),AND(AG63="VF",V63&lt;&gt;"INM")),"",
        IF(AND(V63="INM",AG63="VF"),IF(ISBLANK(AB63),"",AF63*AB63),
        IF('Dados da OS'!$D$8=Parâmetros!$B$4,
           IF(OR(V63="CE",V63="EE"),4,IF(V63="SE",5,IF(V63="ALI",7,IF(V63="AIE",5,"")))),
        IF('Dados da OS'!$D$8=Parâmetros!$B$3,
           IF(OR(ISBLANK(X63),ISBLANK(Z63)),"",
              IF(V63="ALI",IF(AE63="L",7,IF(AE63="A",10,15)),
                 IF(V63="AIE",IF(AE63="L",5,IF(AE63="A",7,10)),
                    IF(V63="SE",IF(AE63="L",4,IF(AE63="A",5,7)),
                       IF(OR(V63="EE",V63="CE"),IF(AE63="L",3,IF(AE63="A",4,6)),""))))))))),
   IF('Dados da OS'!$D$8=Parâmetros!$B$5,
      IF(OR(AND(V63="INM",AG63&lt;&gt;"VF"),AND(AG63="VF",V63&lt;&gt;"INM")),"",
         IF(V63="INM",IF(AG63="VF",AF63*AB63,""),
            IF(V63="PE",4.6,
            IF(V63="AL",7,"")))),
   IF('Dados da OS'!$D$8=Parâmetros!$B$6,
      IF(V63="ALI",35,IF(V63="AIE",15,"")),""))
    )
)</f>
        <v/>
      </c>
      <c r="AJ63" s="82" t="str">
        <f t="shared" si="8"/>
        <v/>
      </c>
      <c r="AK63" s="84"/>
      <c r="AL63" s="85" t="s">
        <v>21</v>
      </c>
      <c r="AM63" s="86"/>
      <c r="AN63" s="85"/>
      <c r="AO63" s="87"/>
      <c r="AP63" s="85"/>
      <c r="AQ63" s="86"/>
      <c r="AR63" s="85"/>
    </row>
    <row r="64" spans="1:44" ht="15.75" customHeight="1">
      <c r="A64" s="54"/>
      <c r="B64" s="100"/>
      <c r="C64" s="55"/>
      <c r="D64" s="55"/>
      <c r="E64" s="56"/>
      <c r="F64" s="55"/>
      <c r="G64" s="56"/>
      <c r="H64" s="55"/>
      <c r="I64" s="64"/>
      <c r="J64" s="57" t="str">
        <f t="shared" si="11"/>
        <v/>
      </c>
      <c r="K64" s="57" t="str">
        <f t="shared" si="12"/>
        <v/>
      </c>
      <c r="L64" s="57" t="str">
        <f xml:space="preserve">
IF(OR('Dados da OS'!$D$8=Parâmetros!$B$3,'Dados da OS'!$D$8=Parâmetros!$B$4),
  IF(OR(ISBLANK(D64),ISBLANK(F64)),
     IF(OR(B64="ALI",B64="AIE"),"L",IF(ISBLANK(B64),"","A")),
     IF(B64="EE",IF(F64&gt;=3,IF(D64&gt;=5,"H","A"),
     IF(F64&gt;=2,IF(D64&gt;=16,"H",IF(D64&lt;=4,"L","A")),IF(D64&lt;=15,"L","A"))),
     IF(OR(B64="SE",B64="CE"),IF(F64&gt;=4,IF(D64&gt;=6,"H","A"),IF(F64&gt;=2,IF(D64&gt;=20,"H",IF(D64&lt;=5,"L","A")),IF(D64&lt;=19,"L","A"))),
     IF(OR(B64="ALI",B64="AIE"),IF(F64&gt;=6,IF(D64&gt;=20,"H","A"),IF(F64&gt;=2,IF(D64&gt;=51,"H",IF(D64&lt;=19,"L","A")),IF(D64&lt;=50,"L","A"))))))),
IF('Dados da OS'!$D$8=Parâmetros!$B$6,"Indicativa",
IF('Dados da OS'!$D$8=Parâmetros!$B$5,"PFS","")))</f>
        <v/>
      </c>
      <c r="M64" s="57">
        <f>IFERROR(VLOOKUP(C64,'Fatores de Impacto e INMs'!$A$3:$D$32,3,0),1)</f>
        <v>1</v>
      </c>
      <c r="N64" s="57">
        <f>IFERROR(VLOOKUP(C64,'Fatores de Impacto e INMs'!$A$3:$E$32,5,0),1)</f>
        <v>1</v>
      </c>
      <c r="O64" s="63" t="str">
        <f xml:space="preserve">
IF(OR('Dados da OS'!$D$8="Selecione o tipo da contagem",ISBLANK('Dados da OS'!$D$8),B64="INM",B64="N/A",ISBLANK(B64),ISBLANK(C64),N64="VF"),"-",
   IF('Dados da OS'!$D$8=Parâmetros!$B$3,
      IF(OR(ISBLANK(D64),ISBLANK(F64)),"-",
         IF(L64="L","Baixa",IF(L64="A","Média",IF(L64="H","Alta","-")))),
      IF('Dados da OS'!$D$8=Parâmetros!$B$4,
         IF(OR(B64="ALI",B64="AIE"),"Baixa",IF(OR(B64="EE",B64="SE",B64="CE"),"Média","-")),
         IF(OR('Dados da OS'!$D$8=Parâmetros!$B$5,'Dados da OS'!$D$8=Parâmetros!$B$6),"-"))))</f>
        <v>-</v>
      </c>
      <c r="P64" s="59" t="str">
        <f xml:space="preserve">
IF(OR(ISBLANK(B64),ISBLANK(C64),B64="N/A",ISBLANK('Dados da OS'!$D$8)),"",
   IF(OR('Dados da OS'!$D$8=Parâmetros!$B$3,'Dados da OS'!$D$8=Parâmetros!$B$4),
      IF(OR(AND(B64="INM",N64&lt;&gt;"VF"),AND(N64="VF",B64&lt;&gt;"INM")),"",
        IF(AND(B64="INM",N64="VF"),IF(ISBLANK(H64),"",M64*H64),
        IF('Dados da OS'!$D$8=Parâmetros!$B$4,
           IF(OR(B64="CE",B64="EE"),4,IF(B64="SE",5,IF(B64="ALI",7,IF(B64="AIE",5,"")))),
        IF('Dados da OS'!$D$8=Parâmetros!$B$3,
           IF(OR(ISBLANK(D64),ISBLANK(F64)),"",
              IF(B64="ALI",IF(L64="L",7,IF(L64="A",10,15)),
                 IF(B64="AIE",IF(L64="L",5,IF(L64="A",7,10)),
                    IF(B64="SE",IF(L64="L",4,IF(L64="A",5,7)),
                       IF(OR(B64="EE",B64="CE"),IF(L64="L",3,IF(L64="A",4,6)),""))))))))),
   IF('Dados da OS'!$D$8=Parâmetros!$B$5,
      IF(OR(AND(B64="INM",N64&lt;&gt;"VF"),AND(N64="VF",B64&lt;&gt;"INM")),"",
         IF(B64="INM",IF(N64="VF",M64*H64,""),
            IF(B64="PE",4.6,
            IF(B64="AL",7,"")))),
   IF('Dados da OS'!$D$8=Parâmetros!$B$6,
      IF(B64="ALI",35,IF(B64="AIE",15,"")),""))
    )
)</f>
        <v/>
      </c>
      <c r="Q64" s="60" t="str">
        <f t="shared" si="5"/>
        <v/>
      </c>
      <c r="R64" s="61"/>
      <c r="S64" s="62"/>
      <c r="T64" s="80" t="s">
        <v>21</v>
      </c>
      <c r="U64" s="81"/>
      <c r="V64" s="99"/>
      <c r="W64" s="55"/>
      <c r="X64" s="55"/>
      <c r="Y64" s="56"/>
      <c r="Z64" s="55"/>
      <c r="AA64" s="56"/>
      <c r="AB64" s="55"/>
      <c r="AC64" s="57" t="str">
        <f t="shared" si="6"/>
        <v/>
      </c>
      <c r="AD64" s="57" t="str">
        <f t="shared" si="7"/>
        <v/>
      </c>
      <c r="AE64" s="57" t="str">
        <f xml:space="preserve">
IF(OR('Dados da OS'!$D$8=Parâmetros!$B$3,'Dados da OS'!$D$8=Parâmetros!$B$4),
  IF(OR(ISBLANK(X64),ISBLANK(Z64)),
     IF(OR(V64="ALI",V64="AIE"),"L",IF(ISBLANK(V64),"","A")),
     IF(V64="EE",IF(Z64&gt;=3,IF(X64&gt;=5,"H","A"),
     IF(Z64&gt;=2,IF(X64&gt;=16,"H",IF(X64&lt;=4,"L","A")),IF(X64&lt;=15,"L","A"))),
     IF(OR(V64="SE",V64="CE"),IF(Z64&gt;=4,IF(X64&gt;=6,"H","A"),IF(Z64&gt;=2,IF(X64&gt;=20,"H",IF(X64&lt;=5,"L","A")),IF(X64&lt;=19,"L","A"))),
     IF(OR(V64="ALI",V64="AIE"),IF(Z64&gt;=6,IF(X64&gt;=20,"H","A"),IF(Z64&gt;=2,IF(X64&gt;=51,"H",IF(X64&lt;=19,"L","A")),IF(X64&lt;=50,"L","A"))))))),
IF('Dados da OS'!$D$8=Parâmetros!$B$6,"Indicativa",
IF('Dados da OS'!$D$8=Parâmetros!$B$5,"PFS","")))</f>
        <v/>
      </c>
      <c r="AF64" s="57">
        <f>IFERROR(VLOOKUP(W64,'Fatores de Impacto e INMs'!$A$3:$D$32,3,0),1)</f>
        <v>1</v>
      </c>
      <c r="AG64" s="57">
        <f>IFERROR(VLOOKUP(W64,'Fatores de Impacto e INMs'!$A$3:$E$32,5,0),1)</f>
        <v>1</v>
      </c>
      <c r="AH64" s="82" t="str">
        <f xml:space="preserve">
IF(OR('Dados da OS'!$D$8="Selecione o tipo da contagem",ISBLANK('Dados da OS'!$D$8),V64="INM",V64="N/A",ISBLANK(V64),ISBLANK(W64),AG64="VF"),"-",
   IF('Dados da OS'!$D$8=Parâmetros!$B$3,
      IF(OR(ISBLANK(X64),ISBLANK(Z64)),"-",
         IF(AE64="L","Baixa",IF(AE64="A","Média",IF(AE64="H","Alta","-")))),
      IF('Dados da OS'!$D$8=Parâmetros!$B$4,
         IF(OR(V64="ALI",V64="AIE"),"Baixa",IF(OR(V64="EE",V64="SE",V64="CE"),"Média","-")),
         IF(OR('Dados da OS'!$D$8=Parâmetros!$B$5,'Dados da OS'!$D$8=Parâmetros!$B$6),"-"))))</f>
        <v>-</v>
      </c>
      <c r="AI64" s="83" t="str">
        <f xml:space="preserve">
IF(OR(ISBLANK(V64),ISBLANK(U64),ISBLANK(W64),V64="N/A",ISBLANK('Dados da OS'!$D$8)),"",
   IF(OR('Dados da OS'!$D$8=Parâmetros!$B$3,'Dados da OS'!$D$8=Parâmetros!$B$4),
      IF(OR(AND(V64="INM",AG64&lt;&gt;"VF"),AND(AG64="VF",V64&lt;&gt;"INM")),"",
        IF(AND(V64="INM",AG64="VF"),IF(ISBLANK(AB64),"",AF64*AB64),
        IF('Dados da OS'!$D$8=Parâmetros!$B$4,
           IF(OR(V64="CE",V64="EE"),4,IF(V64="SE",5,IF(V64="ALI",7,IF(V64="AIE",5,"")))),
        IF('Dados da OS'!$D$8=Parâmetros!$B$3,
           IF(OR(ISBLANK(X64),ISBLANK(Z64)),"",
              IF(V64="ALI",IF(AE64="L",7,IF(AE64="A",10,15)),
                 IF(V64="AIE",IF(AE64="L",5,IF(AE64="A",7,10)),
                    IF(V64="SE",IF(AE64="L",4,IF(AE64="A",5,7)),
                       IF(OR(V64="EE",V64="CE"),IF(AE64="L",3,IF(AE64="A",4,6)),""))))))))),
   IF('Dados da OS'!$D$8=Parâmetros!$B$5,
      IF(OR(AND(V64="INM",AG64&lt;&gt;"VF"),AND(AG64="VF",V64&lt;&gt;"INM")),"",
         IF(V64="INM",IF(AG64="VF",AF64*AB64,""),
            IF(V64="PE",4.6,
            IF(V64="AL",7,"")))),
   IF('Dados da OS'!$D$8=Parâmetros!$B$6,
      IF(V64="ALI",35,IF(V64="AIE",15,"")),""))
    )
)</f>
        <v/>
      </c>
      <c r="AJ64" s="82" t="str">
        <f t="shared" si="8"/>
        <v/>
      </c>
      <c r="AK64" s="84"/>
      <c r="AL64" s="85" t="s">
        <v>21</v>
      </c>
      <c r="AM64" s="86"/>
      <c r="AN64" s="85"/>
      <c r="AO64" s="87"/>
      <c r="AP64" s="85"/>
      <c r="AQ64" s="86"/>
      <c r="AR64" s="85"/>
    </row>
    <row r="65" spans="1:44" ht="15.75" customHeight="1">
      <c r="A65" s="54"/>
      <c r="B65" s="100"/>
      <c r="C65" s="55"/>
      <c r="D65" s="55"/>
      <c r="E65" s="56"/>
      <c r="F65" s="55"/>
      <c r="G65" s="56"/>
      <c r="H65" s="55"/>
      <c r="I65" s="64"/>
      <c r="J65" s="57" t="str">
        <f t="shared" si="11"/>
        <v/>
      </c>
      <c r="K65" s="57" t="str">
        <f t="shared" si="12"/>
        <v/>
      </c>
      <c r="L65" s="57" t="str">
        <f xml:space="preserve">
IF(OR('Dados da OS'!$D$8=Parâmetros!$B$3,'Dados da OS'!$D$8=Parâmetros!$B$4),
  IF(OR(ISBLANK(D65),ISBLANK(F65)),
     IF(OR(B65="ALI",B65="AIE"),"L",IF(ISBLANK(B65),"","A")),
     IF(B65="EE",IF(F65&gt;=3,IF(D65&gt;=5,"H","A"),
     IF(F65&gt;=2,IF(D65&gt;=16,"H",IF(D65&lt;=4,"L","A")),IF(D65&lt;=15,"L","A"))),
     IF(OR(B65="SE",B65="CE"),IF(F65&gt;=4,IF(D65&gt;=6,"H","A"),IF(F65&gt;=2,IF(D65&gt;=20,"H",IF(D65&lt;=5,"L","A")),IF(D65&lt;=19,"L","A"))),
     IF(OR(B65="ALI",B65="AIE"),IF(F65&gt;=6,IF(D65&gt;=20,"H","A"),IF(F65&gt;=2,IF(D65&gt;=51,"H",IF(D65&lt;=19,"L","A")),IF(D65&lt;=50,"L","A"))))))),
IF('Dados da OS'!$D$8=Parâmetros!$B$6,"Indicativa",
IF('Dados da OS'!$D$8=Parâmetros!$B$5,"PFS","")))</f>
        <v/>
      </c>
      <c r="M65" s="57">
        <f>IFERROR(VLOOKUP(C65,'Fatores de Impacto e INMs'!$A$3:$D$32,3,0),1)</f>
        <v>1</v>
      </c>
      <c r="N65" s="57">
        <f>IFERROR(VLOOKUP(C65,'Fatores de Impacto e INMs'!$A$3:$E$32,5,0),1)</f>
        <v>1</v>
      </c>
      <c r="O65" s="63" t="str">
        <f xml:space="preserve">
IF(OR('Dados da OS'!$D$8="Selecione o tipo da contagem",ISBLANK('Dados da OS'!$D$8),B65="INM",B65="N/A",ISBLANK(B65),ISBLANK(C65),N65="VF"),"-",
   IF('Dados da OS'!$D$8=Parâmetros!$B$3,
      IF(OR(ISBLANK(D65),ISBLANK(F65)),"-",
         IF(L65="L","Baixa",IF(L65="A","Média",IF(L65="H","Alta","-")))),
      IF('Dados da OS'!$D$8=Parâmetros!$B$4,
         IF(OR(B65="ALI",B65="AIE"),"Baixa",IF(OR(B65="EE",B65="SE",B65="CE"),"Média","-")),
         IF(OR('Dados da OS'!$D$8=Parâmetros!$B$5,'Dados da OS'!$D$8=Parâmetros!$B$6),"-"))))</f>
        <v>-</v>
      </c>
      <c r="P65" s="59" t="str">
        <f xml:space="preserve">
IF(OR(ISBLANK(B65),ISBLANK(C65),B65="N/A",ISBLANK('Dados da OS'!$D$8)),"",
   IF(OR('Dados da OS'!$D$8=Parâmetros!$B$3,'Dados da OS'!$D$8=Parâmetros!$B$4),
      IF(OR(AND(B65="INM",N65&lt;&gt;"VF"),AND(N65="VF",B65&lt;&gt;"INM")),"",
        IF(AND(B65="INM",N65="VF"),IF(ISBLANK(H65),"",M65*H65),
        IF('Dados da OS'!$D$8=Parâmetros!$B$4,
           IF(OR(B65="CE",B65="EE"),4,IF(B65="SE",5,IF(B65="ALI",7,IF(B65="AIE",5,"")))),
        IF('Dados da OS'!$D$8=Parâmetros!$B$3,
           IF(OR(ISBLANK(D65),ISBLANK(F65)),"",
              IF(B65="ALI",IF(L65="L",7,IF(L65="A",10,15)),
                 IF(B65="AIE",IF(L65="L",5,IF(L65="A",7,10)),
                    IF(B65="SE",IF(L65="L",4,IF(L65="A",5,7)),
                       IF(OR(B65="EE",B65="CE"),IF(L65="L",3,IF(L65="A",4,6)),""))))))))),
   IF('Dados da OS'!$D$8=Parâmetros!$B$5,
      IF(OR(AND(B65="INM",N65&lt;&gt;"VF"),AND(N65="VF",B65&lt;&gt;"INM")),"",
         IF(B65="INM",IF(N65="VF",M65*H65,""),
            IF(B65="PE",4.6,
            IF(B65="AL",7,"")))),
   IF('Dados da OS'!$D$8=Parâmetros!$B$6,
      IF(B65="ALI",35,IF(B65="AIE",15,"")),""))
    )
)</f>
        <v/>
      </c>
      <c r="Q65" s="60" t="str">
        <f t="shared" si="5"/>
        <v/>
      </c>
      <c r="R65" s="61"/>
      <c r="S65" s="62"/>
      <c r="T65" s="80" t="s">
        <v>21</v>
      </c>
      <c r="U65" s="81"/>
      <c r="V65" s="99"/>
      <c r="W65" s="55"/>
      <c r="X65" s="55"/>
      <c r="Y65" s="56"/>
      <c r="Z65" s="55"/>
      <c r="AA65" s="56"/>
      <c r="AB65" s="55"/>
      <c r="AC65" s="57" t="str">
        <f t="shared" si="6"/>
        <v/>
      </c>
      <c r="AD65" s="57" t="str">
        <f t="shared" si="7"/>
        <v/>
      </c>
      <c r="AE65" s="57" t="str">
        <f xml:space="preserve">
IF(OR('Dados da OS'!$D$8=Parâmetros!$B$3,'Dados da OS'!$D$8=Parâmetros!$B$4),
  IF(OR(ISBLANK(X65),ISBLANK(Z65)),
     IF(OR(V65="ALI",V65="AIE"),"L",IF(ISBLANK(V65),"","A")),
     IF(V65="EE",IF(Z65&gt;=3,IF(X65&gt;=5,"H","A"),
     IF(Z65&gt;=2,IF(X65&gt;=16,"H",IF(X65&lt;=4,"L","A")),IF(X65&lt;=15,"L","A"))),
     IF(OR(V65="SE",V65="CE"),IF(Z65&gt;=4,IF(X65&gt;=6,"H","A"),IF(Z65&gt;=2,IF(X65&gt;=20,"H",IF(X65&lt;=5,"L","A")),IF(X65&lt;=19,"L","A"))),
     IF(OR(V65="ALI",V65="AIE"),IF(Z65&gt;=6,IF(X65&gt;=20,"H","A"),IF(Z65&gt;=2,IF(X65&gt;=51,"H",IF(X65&lt;=19,"L","A")),IF(X65&lt;=50,"L","A"))))))),
IF('Dados da OS'!$D$8=Parâmetros!$B$6,"Indicativa",
IF('Dados da OS'!$D$8=Parâmetros!$B$5,"PFS","")))</f>
        <v/>
      </c>
      <c r="AF65" s="57">
        <f>IFERROR(VLOOKUP(W65,'Fatores de Impacto e INMs'!$A$3:$D$32,3,0),1)</f>
        <v>1</v>
      </c>
      <c r="AG65" s="57">
        <f>IFERROR(VLOOKUP(W65,'Fatores de Impacto e INMs'!$A$3:$E$32,5,0),1)</f>
        <v>1</v>
      </c>
      <c r="AH65" s="82" t="str">
        <f xml:space="preserve">
IF(OR('Dados da OS'!$D$8="Selecione o tipo da contagem",ISBLANK('Dados da OS'!$D$8),V65="INM",V65="N/A",ISBLANK(V65),ISBLANK(W65),AG65="VF"),"-",
   IF('Dados da OS'!$D$8=Parâmetros!$B$3,
      IF(OR(ISBLANK(X65),ISBLANK(Z65)),"-",
         IF(AE65="L","Baixa",IF(AE65="A","Média",IF(AE65="H","Alta","-")))),
      IF('Dados da OS'!$D$8=Parâmetros!$B$4,
         IF(OR(V65="ALI",V65="AIE"),"Baixa",IF(OR(V65="EE",V65="SE",V65="CE"),"Média","-")),
         IF(OR('Dados da OS'!$D$8=Parâmetros!$B$5,'Dados da OS'!$D$8=Parâmetros!$B$6),"-"))))</f>
        <v>-</v>
      </c>
      <c r="AI65" s="83" t="str">
        <f xml:space="preserve">
IF(OR(ISBLANK(V65),ISBLANK(U65),ISBLANK(W65),V65="N/A",ISBLANK('Dados da OS'!$D$8)),"",
   IF(OR('Dados da OS'!$D$8=Parâmetros!$B$3,'Dados da OS'!$D$8=Parâmetros!$B$4),
      IF(OR(AND(V65="INM",AG65&lt;&gt;"VF"),AND(AG65="VF",V65&lt;&gt;"INM")),"",
        IF(AND(V65="INM",AG65="VF"),IF(ISBLANK(AB65),"",AF65*AB65),
        IF('Dados da OS'!$D$8=Parâmetros!$B$4,
           IF(OR(V65="CE",V65="EE"),4,IF(V65="SE",5,IF(V65="ALI",7,IF(V65="AIE",5,"")))),
        IF('Dados da OS'!$D$8=Parâmetros!$B$3,
           IF(OR(ISBLANK(X65),ISBLANK(Z65)),"",
              IF(V65="ALI",IF(AE65="L",7,IF(AE65="A",10,15)),
                 IF(V65="AIE",IF(AE65="L",5,IF(AE65="A",7,10)),
                    IF(V65="SE",IF(AE65="L",4,IF(AE65="A",5,7)),
                       IF(OR(V65="EE",V65="CE"),IF(AE65="L",3,IF(AE65="A",4,6)),""))))))))),
   IF('Dados da OS'!$D$8=Parâmetros!$B$5,
      IF(OR(AND(V65="INM",AG65&lt;&gt;"VF"),AND(AG65="VF",V65&lt;&gt;"INM")),"",
         IF(V65="INM",IF(AG65="VF",AF65*AB65,""),
            IF(V65="PE",4.6,
            IF(V65="AL",7,"")))),
   IF('Dados da OS'!$D$8=Parâmetros!$B$6,
      IF(V65="ALI",35,IF(V65="AIE",15,"")),""))
    )
)</f>
        <v/>
      </c>
      <c r="AJ65" s="82" t="str">
        <f t="shared" si="8"/>
        <v/>
      </c>
      <c r="AK65" s="84"/>
      <c r="AL65" s="85" t="s">
        <v>21</v>
      </c>
      <c r="AM65" s="86"/>
      <c r="AN65" s="85"/>
      <c r="AO65" s="87"/>
      <c r="AP65" s="85"/>
      <c r="AQ65" s="86"/>
      <c r="AR65" s="85"/>
    </row>
    <row r="66" spans="1:44" ht="15.75" customHeight="1">
      <c r="A66" s="54"/>
      <c r="B66" s="100"/>
      <c r="C66" s="55"/>
      <c r="D66" s="55"/>
      <c r="E66" s="56"/>
      <c r="F66" s="55"/>
      <c r="G66" s="56"/>
      <c r="H66" s="55"/>
      <c r="I66" s="64"/>
      <c r="J66" s="57" t="str">
        <f t="shared" si="11"/>
        <v/>
      </c>
      <c r="K66" s="57" t="str">
        <f t="shared" si="12"/>
        <v/>
      </c>
      <c r="L66" s="57" t="str">
        <f xml:space="preserve">
IF(OR('Dados da OS'!$D$8=Parâmetros!$B$3,'Dados da OS'!$D$8=Parâmetros!$B$4),
  IF(OR(ISBLANK(D66),ISBLANK(F66)),
     IF(OR(B66="ALI",B66="AIE"),"L",IF(ISBLANK(B66),"","A")),
     IF(B66="EE",IF(F66&gt;=3,IF(D66&gt;=5,"H","A"),
     IF(F66&gt;=2,IF(D66&gt;=16,"H",IF(D66&lt;=4,"L","A")),IF(D66&lt;=15,"L","A"))),
     IF(OR(B66="SE",B66="CE"),IF(F66&gt;=4,IF(D66&gt;=6,"H","A"),IF(F66&gt;=2,IF(D66&gt;=20,"H",IF(D66&lt;=5,"L","A")),IF(D66&lt;=19,"L","A"))),
     IF(OR(B66="ALI",B66="AIE"),IF(F66&gt;=6,IF(D66&gt;=20,"H","A"),IF(F66&gt;=2,IF(D66&gt;=51,"H",IF(D66&lt;=19,"L","A")),IF(D66&lt;=50,"L","A"))))))),
IF('Dados da OS'!$D$8=Parâmetros!$B$6,"Indicativa",
IF('Dados da OS'!$D$8=Parâmetros!$B$5,"PFS","")))</f>
        <v/>
      </c>
      <c r="M66" s="57">
        <f>IFERROR(VLOOKUP(C66,'Fatores de Impacto e INMs'!$A$3:$D$32,3,0),1)</f>
        <v>1</v>
      </c>
      <c r="N66" s="57">
        <f>IFERROR(VLOOKUP(C66,'Fatores de Impacto e INMs'!$A$3:$E$32,5,0),1)</f>
        <v>1</v>
      </c>
      <c r="O66" s="63" t="str">
        <f xml:space="preserve">
IF(OR('Dados da OS'!$D$8="Selecione o tipo da contagem",ISBLANK('Dados da OS'!$D$8),B66="INM",B66="N/A",ISBLANK(B66),ISBLANK(C66),N66="VF"),"-",
   IF('Dados da OS'!$D$8=Parâmetros!$B$3,
      IF(OR(ISBLANK(D66),ISBLANK(F66)),"-",
         IF(L66="L","Baixa",IF(L66="A","Média",IF(L66="H","Alta","-")))),
      IF('Dados da OS'!$D$8=Parâmetros!$B$4,
         IF(OR(B66="ALI",B66="AIE"),"Baixa",IF(OR(B66="EE",B66="SE",B66="CE"),"Média","-")),
         IF(OR('Dados da OS'!$D$8=Parâmetros!$B$5,'Dados da OS'!$D$8=Parâmetros!$B$6),"-"))))</f>
        <v>-</v>
      </c>
      <c r="P66" s="59" t="str">
        <f xml:space="preserve">
IF(OR(ISBLANK(B66),ISBLANK(C66),B66="N/A",ISBLANK('Dados da OS'!$D$8)),"",
   IF(OR('Dados da OS'!$D$8=Parâmetros!$B$3,'Dados da OS'!$D$8=Parâmetros!$B$4),
      IF(OR(AND(B66="INM",N66&lt;&gt;"VF"),AND(N66="VF",B66&lt;&gt;"INM")),"",
        IF(AND(B66="INM",N66="VF"),IF(ISBLANK(H66),"",M66*H66),
        IF('Dados da OS'!$D$8=Parâmetros!$B$4,
           IF(OR(B66="CE",B66="EE"),4,IF(B66="SE",5,IF(B66="ALI",7,IF(B66="AIE",5,"")))),
        IF('Dados da OS'!$D$8=Parâmetros!$B$3,
           IF(OR(ISBLANK(D66),ISBLANK(F66)),"",
              IF(B66="ALI",IF(L66="L",7,IF(L66="A",10,15)),
                 IF(B66="AIE",IF(L66="L",5,IF(L66="A",7,10)),
                    IF(B66="SE",IF(L66="L",4,IF(L66="A",5,7)),
                       IF(OR(B66="EE",B66="CE"),IF(L66="L",3,IF(L66="A",4,6)),""))))))))),
   IF('Dados da OS'!$D$8=Parâmetros!$B$5,
      IF(OR(AND(B66="INM",N66&lt;&gt;"VF"),AND(N66="VF",B66&lt;&gt;"INM")),"",
         IF(B66="INM",IF(N66="VF",M66*H66,""),
            IF(B66="PE",4.6,
            IF(B66="AL",7,"")))),
   IF('Dados da OS'!$D$8=Parâmetros!$B$6,
      IF(B66="ALI",35,IF(B66="AIE",15,"")),""))
    )
)</f>
        <v/>
      </c>
      <c r="Q66" s="60" t="str">
        <f t="shared" si="5"/>
        <v/>
      </c>
      <c r="R66" s="61"/>
      <c r="S66" s="62"/>
      <c r="T66" s="80" t="s">
        <v>21</v>
      </c>
      <c r="U66" s="81"/>
      <c r="V66" s="99"/>
      <c r="W66" s="55"/>
      <c r="X66" s="55"/>
      <c r="Y66" s="56"/>
      <c r="Z66" s="55"/>
      <c r="AA66" s="56"/>
      <c r="AB66" s="55"/>
      <c r="AC66" s="57" t="str">
        <f t="shared" si="6"/>
        <v/>
      </c>
      <c r="AD66" s="57" t="str">
        <f t="shared" si="7"/>
        <v/>
      </c>
      <c r="AE66" s="57" t="str">
        <f xml:space="preserve">
IF(OR('Dados da OS'!$D$8=Parâmetros!$B$3,'Dados da OS'!$D$8=Parâmetros!$B$4),
  IF(OR(ISBLANK(X66),ISBLANK(Z66)),
     IF(OR(V66="ALI",V66="AIE"),"L",IF(ISBLANK(V66),"","A")),
     IF(V66="EE",IF(Z66&gt;=3,IF(X66&gt;=5,"H","A"),
     IF(Z66&gt;=2,IF(X66&gt;=16,"H",IF(X66&lt;=4,"L","A")),IF(X66&lt;=15,"L","A"))),
     IF(OR(V66="SE",V66="CE"),IF(Z66&gt;=4,IF(X66&gt;=6,"H","A"),IF(Z66&gt;=2,IF(X66&gt;=20,"H",IF(X66&lt;=5,"L","A")),IF(X66&lt;=19,"L","A"))),
     IF(OR(V66="ALI",V66="AIE"),IF(Z66&gt;=6,IF(X66&gt;=20,"H","A"),IF(Z66&gt;=2,IF(X66&gt;=51,"H",IF(X66&lt;=19,"L","A")),IF(X66&lt;=50,"L","A"))))))),
IF('Dados da OS'!$D$8=Parâmetros!$B$6,"Indicativa",
IF('Dados da OS'!$D$8=Parâmetros!$B$5,"PFS","")))</f>
        <v/>
      </c>
      <c r="AF66" s="57">
        <f>IFERROR(VLOOKUP(W66,'Fatores de Impacto e INMs'!$A$3:$D$32,3,0),1)</f>
        <v>1</v>
      </c>
      <c r="AG66" s="57">
        <f>IFERROR(VLOOKUP(W66,'Fatores de Impacto e INMs'!$A$3:$E$32,5,0),1)</f>
        <v>1</v>
      </c>
      <c r="AH66" s="82" t="str">
        <f xml:space="preserve">
IF(OR('Dados da OS'!$D$8="Selecione o tipo da contagem",ISBLANK('Dados da OS'!$D$8),V66="INM",V66="N/A",ISBLANK(V66),ISBLANK(W66),AG66="VF"),"-",
   IF('Dados da OS'!$D$8=Parâmetros!$B$3,
      IF(OR(ISBLANK(X66),ISBLANK(Z66)),"-",
         IF(AE66="L","Baixa",IF(AE66="A","Média",IF(AE66="H","Alta","-")))),
      IF('Dados da OS'!$D$8=Parâmetros!$B$4,
         IF(OR(V66="ALI",V66="AIE"),"Baixa",IF(OR(V66="EE",V66="SE",V66="CE"),"Média","-")),
         IF(OR('Dados da OS'!$D$8=Parâmetros!$B$5,'Dados da OS'!$D$8=Parâmetros!$B$6),"-"))))</f>
        <v>-</v>
      </c>
      <c r="AI66" s="83" t="str">
        <f xml:space="preserve">
IF(OR(ISBLANK(V66),ISBLANK(U66),ISBLANK(W66),V66="N/A",ISBLANK('Dados da OS'!$D$8)),"",
   IF(OR('Dados da OS'!$D$8=Parâmetros!$B$3,'Dados da OS'!$D$8=Parâmetros!$B$4),
      IF(OR(AND(V66="INM",AG66&lt;&gt;"VF"),AND(AG66="VF",V66&lt;&gt;"INM")),"",
        IF(AND(V66="INM",AG66="VF"),IF(ISBLANK(AB66),"",AF66*AB66),
        IF('Dados da OS'!$D$8=Parâmetros!$B$4,
           IF(OR(V66="CE",V66="EE"),4,IF(V66="SE",5,IF(V66="ALI",7,IF(V66="AIE",5,"")))),
        IF('Dados da OS'!$D$8=Parâmetros!$B$3,
           IF(OR(ISBLANK(X66),ISBLANK(Z66)),"",
              IF(V66="ALI",IF(AE66="L",7,IF(AE66="A",10,15)),
                 IF(V66="AIE",IF(AE66="L",5,IF(AE66="A",7,10)),
                    IF(V66="SE",IF(AE66="L",4,IF(AE66="A",5,7)),
                       IF(OR(V66="EE",V66="CE"),IF(AE66="L",3,IF(AE66="A",4,6)),""))))))))),
   IF('Dados da OS'!$D$8=Parâmetros!$B$5,
      IF(OR(AND(V66="INM",AG66&lt;&gt;"VF"),AND(AG66="VF",V66&lt;&gt;"INM")),"",
         IF(V66="INM",IF(AG66="VF",AF66*AB66,""),
            IF(V66="PE",4.6,
            IF(V66="AL",7,"")))),
   IF('Dados da OS'!$D$8=Parâmetros!$B$6,
      IF(V66="ALI",35,IF(V66="AIE",15,"")),""))
    )
)</f>
        <v/>
      </c>
      <c r="AJ66" s="82" t="str">
        <f t="shared" si="8"/>
        <v/>
      </c>
      <c r="AK66" s="84"/>
      <c r="AL66" s="85" t="s">
        <v>21</v>
      </c>
      <c r="AM66" s="86"/>
      <c r="AN66" s="85"/>
      <c r="AO66" s="87"/>
      <c r="AP66" s="85"/>
      <c r="AQ66" s="86"/>
      <c r="AR66" s="85"/>
    </row>
    <row r="67" spans="1:44" ht="15.75" customHeight="1">
      <c r="A67" s="54"/>
      <c r="B67" s="100"/>
      <c r="C67" s="55"/>
      <c r="D67" s="55"/>
      <c r="E67" s="56"/>
      <c r="F67" s="55"/>
      <c r="G67" s="56"/>
      <c r="H67" s="55"/>
      <c r="I67" s="64"/>
      <c r="J67" s="57" t="str">
        <f t="shared" si="11"/>
        <v/>
      </c>
      <c r="K67" s="57" t="str">
        <f t="shared" si="12"/>
        <v/>
      </c>
      <c r="L67" s="57" t="str">
        <f xml:space="preserve">
IF(OR('Dados da OS'!$D$8=Parâmetros!$B$3,'Dados da OS'!$D$8=Parâmetros!$B$4),
  IF(OR(ISBLANK(D67),ISBLANK(F67)),
     IF(OR(B67="ALI",B67="AIE"),"L",IF(ISBLANK(B67),"","A")),
     IF(B67="EE",IF(F67&gt;=3,IF(D67&gt;=5,"H","A"),
     IF(F67&gt;=2,IF(D67&gt;=16,"H",IF(D67&lt;=4,"L","A")),IF(D67&lt;=15,"L","A"))),
     IF(OR(B67="SE",B67="CE"),IF(F67&gt;=4,IF(D67&gt;=6,"H","A"),IF(F67&gt;=2,IF(D67&gt;=20,"H",IF(D67&lt;=5,"L","A")),IF(D67&lt;=19,"L","A"))),
     IF(OR(B67="ALI",B67="AIE"),IF(F67&gt;=6,IF(D67&gt;=20,"H","A"),IF(F67&gt;=2,IF(D67&gt;=51,"H",IF(D67&lt;=19,"L","A")),IF(D67&lt;=50,"L","A"))))))),
IF('Dados da OS'!$D$8=Parâmetros!$B$6,"Indicativa",
IF('Dados da OS'!$D$8=Parâmetros!$B$5,"PFS","")))</f>
        <v/>
      </c>
      <c r="M67" s="57">
        <f>IFERROR(VLOOKUP(C67,'Fatores de Impacto e INMs'!$A$3:$D$32,3,0),1)</f>
        <v>1</v>
      </c>
      <c r="N67" s="57">
        <f>IFERROR(VLOOKUP(C67,'Fatores de Impacto e INMs'!$A$3:$E$32,5,0),1)</f>
        <v>1</v>
      </c>
      <c r="O67" s="63" t="str">
        <f xml:space="preserve">
IF(OR('Dados da OS'!$D$8="Selecione o tipo da contagem",ISBLANK('Dados da OS'!$D$8),B67="INM",B67="N/A",ISBLANK(B67),ISBLANK(C67),N67="VF"),"-",
   IF('Dados da OS'!$D$8=Parâmetros!$B$3,
      IF(OR(ISBLANK(D67),ISBLANK(F67)),"-",
         IF(L67="L","Baixa",IF(L67="A","Média",IF(L67="H","Alta","-")))),
      IF('Dados da OS'!$D$8=Parâmetros!$B$4,
         IF(OR(B67="ALI",B67="AIE"),"Baixa",IF(OR(B67="EE",B67="SE",B67="CE"),"Média","-")),
         IF(OR('Dados da OS'!$D$8=Parâmetros!$B$5,'Dados da OS'!$D$8=Parâmetros!$B$6),"-"))))</f>
        <v>-</v>
      </c>
      <c r="P67" s="59" t="str">
        <f xml:space="preserve">
IF(OR(ISBLANK(B67),ISBLANK(C67),B67="N/A",ISBLANK('Dados da OS'!$D$8)),"",
   IF(OR('Dados da OS'!$D$8=Parâmetros!$B$3,'Dados da OS'!$D$8=Parâmetros!$B$4),
      IF(OR(AND(B67="INM",N67&lt;&gt;"VF"),AND(N67="VF",B67&lt;&gt;"INM")),"",
        IF(AND(B67="INM",N67="VF"),IF(ISBLANK(H67),"",M67*H67),
        IF('Dados da OS'!$D$8=Parâmetros!$B$4,
           IF(OR(B67="CE",B67="EE"),4,IF(B67="SE",5,IF(B67="ALI",7,IF(B67="AIE",5,"")))),
        IF('Dados da OS'!$D$8=Parâmetros!$B$3,
           IF(OR(ISBLANK(D67),ISBLANK(F67)),"",
              IF(B67="ALI",IF(L67="L",7,IF(L67="A",10,15)),
                 IF(B67="AIE",IF(L67="L",5,IF(L67="A",7,10)),
                    IF(B67="SE",IF(L67="L",4,IF(L67="A",5,7)),
                       IF(OR(B67="EE",B67="CE"),IF(L67="L",3,IF(L67="A",4,6)),""))))))))),
   IF('Dados da OS'!$D$8=Parâmetros!$B$5,
      IF(OR(AND(B67="INM",N67&lt;&gt;"VF"),AND(N67="VF",B67&lt;&gt;"INM")),"",
         IF(B67="INM",IF(N67="VF",M67*H67,""),
            IF(B67="PE",4.6,
            IF(B67="AL",7,"")))),
   IF('Dados da OS'!$D$8=Parâmetros!$B$6,
      IF(B67="ALI",35,IF(B67="AIE",15,"")),""))
    )
)</f>
        <v/>
      </c>
      <c r="Q67" s="60" t="str">
        <f t="shared" si="5"/>
        <v/>
      </c>
      <c r="R67" s="61"/>
      <c r="S67" s="62"/>
      <c r="T67" s="80" t="s">
        <v>21</v>
      </c>
      <c r="U67" s="81"/>
      <c r="V67" s="99"/>
      <c r="W67" s="55"/>
      <c r="X67" s="55"/>
      <c r="Y67" s="56"/>
      <c r="Z67" s="55"/>
      <c r="AA67" s="56"/>
      <c r="AB67" s="55"/>
      <c r="AC67" s="57" t="str">
        <f t="shared" si="6"/>
        <v/>
      </c>
      <c r="AD67" s="57" t="str">
        <f t="shared" si="7"/>
        <v/>
      </c>
      <c r="AE67" s="57" t="str">
        <f xml:space="preserve">
IF(OR('Dados da OS'!$D$8=Parâmetros!$B$3,'Dados da OS'!$D$8=Parâmetros!$B$4),
  IF(OR(ISBLANK(X67),ISBLANK(Z67)),
     IF(OR(V67="ALI",V67="AIE"),"L",IF(ISBLANK(V67),"","A")),
     IF(V67="EE",IF(Z67&gt;=3,IF(X67&gt;=5,"H","A"),
     IF(Z67&gt;=2,IF(X67&gt;=16,"H",IF(X67&lt;=4,"L","A")),IF(X67&lt;=15,"L","A"))),
     IF(OR(V67="SE",V67="CE"),IF(Z67&gt;=4,IF(X67&gt;=6,"H","A"),IF(Z67&gt;=2,IF(X67&gt;=20,"H",IF(X67&lt;=5,"L","A")),IF(X67&lt;=19,"L","A"))),
     IF(OR(V67="ALI",V67="AIE"),IF(Z67&gt;=6,IF(X67&gt;=20,"H","A"),IF(Z67&gt;=2,IF(X67&gt;=51,"H",IF(X67&lt;=19,"L","A")),IF(X67&lt;=50,"L","A"))))))),
IF('Dados da OS'!$D$8=Parâmetros!$B$6,"Indicativa",
IF('Dados da OS'!$D$8=Parâmetros!$B$5,"PFS","")))</f>
        <v/>
      </c>
      <c r="AF67" s="57">
        <f>IFERROR(VLOOKUP(W67,'Fatores de Impacto e INMs'!$A$3:$D$32,3,0),1)</f>
        <v>1</v>
      </c>
      <c r="AG67" s="57">
        <f>IFERROR(VLOOKUP(W67,'Fatores de Impacto e INMs'!$A$3:$E$32,5,0),1)</f>
        <v>1</v>
      </c>
      <c r="AH67" s="82" t="str">
        <f xml:space="preserve">
IF(OR('Dados da OS'!$D$8="Selecione o tipo da contagem",ISBLANK('Dados da OS'!$D$8),V67="INM",V67="N/A",ISBLANK(V67),ISBLANK(W67),AG67="VF"),"-",
   IF('Dados da OS'!$D$8=Parâmetros!$B$3,
      IF(OR(ISBLANK(X67),ISBLANK(Z67)),"-",
         IF(AE67="L","Baixa",IF(AE67="A","Média",IF(AE67="H","Alta","-")))),
      IF('Dados da OS'!$D$8=Parâmetros!$B$4,
         IF(OR(V67="ALI",V67="AIE"),"Baixa",IF(OR(V67="EE",V67="SE",V67="CE"),"Média","-")),
         IF(OR('Dados da OS'!$D$8=Parâmetros!$B$5,'Dados da OS'!$D$8=Parâmetros!$B$6),"-"))))</f>
        <v>-</v>
      </c>
      <c r="AI67" s="83" t="str">
        <f xml:space="preserve">
IF(OR(ISBLANK(V67),ISBLANK(U67),ISBLANK(W67),V67="N/A",ISBLANK('Dados da OS'!$D$8)),"",
   IF(OR('Dados da OS'!$D$8=Parâmetros!$B$3,'Dados da OS'!$D$8=Parâmetros!$B$4),
      IF(OR(AND(V67="INM",AG67&lt;&gt;"VF"),AND(AG67="VF",V67&lt;&gt;"INM")),"",
        IF(AND(V67="INM",AG67="VF"),IF(ISBLANK(AB67),"",AF67*AB67),
        IF('Dados da OS'!$D$8=Parâmetros!$B$4,
           IF(OR(V67="CE",V67="EE"),4,IF(V67="SE",5,IF(V67="ALI",7,IF(V67="AIE",5,"")))),
        IF('Dados da OS'!$D$8=Parâmetros!$B$3,
           IF(OR(ISBLANK(X67),ISBLANK(Z67)),"",
              IF(V67="ALI",IF(AE67="L",7,IF(AE67="A",10,15)),
                 IF(V67="AIE",IF(AE67="L",5,IF(AE67="A",7,10)),
                    IF(V67="SE",IF(AE67="L",4,IF(AE67="A",5,7)),
                       IF(OR(V67="EE",V67="CE"),IF(AE67="L",3,IF(AE67="A",4,6)),""))))))))),
   IF('Dados da OS'!$D$8=Parâmetros!$B$5,
      IF(OR(AND(V67="INM",AG67&lt;&gt;"VF"),AND(AG67="VF",V67&lt;&gt;"INM")),"",
         IF(V67="INM",IF(AG67="VF",AF67*AB67,""),
            IF(V67="PE",4.6,
            IF(V67="AL",7,"")))),
   IF('Dados da OS'!$D$8=Parâmetros!$B$6,
      IF(V67="ALI",35,IF(V67="AIE",15,"")),""))
    )
)</f>
        <v/>
      </c>
      <c r="AJ67" s="82" t="str">
        <f t="shared" si="8"/>
        <v/>
      </c>
      <c r="AK67" s="84"/>
      <c r="AL67" s="85" t="s">
        <v>21</v>
      </c>
      <c r="AM67" s="86"/>
      <c r="AN67" s="85"/>
      <c r="AO67" s="87"/>
      <c r="AP67" s="85"/>
      <c r="AQ67" s="86"/>
      <c r="AR67" s="85"/>
    </row>
    <row r="68" spans="1:44" ht="15.75" customHeight="1">
      <c r="A68" s="54"/>
      <c r="B68" s="100"/>
      <c r="C68" s="55"/>
      <c r="D68" s="55"/>
      <c r="E68" s="56"/>
      <c r="F68" s="55"/>
      <c r="G68" s="56"/>
      <c r="H68" s="55"/>
      <c r="I68" s="64"/>
      <c r="J68" s="57" t="str">
        <f t="shared" si="11"/>
        <v/>
      </c>
      <c r="K68" s="57" t="str">
        <f t="shared" si="12"/>
        <v/>
      </c>
      <c r="L68" s="57" t="str">
        <f xml:space="preserve">
IF(OR('Dados da OS'!$D$8=Parâmetros!$B$3,'Dados da OS'!$D$8=Parâmetros!$B$4),
  IF(OR(ISBLANK(D68),ISBLANK(F68)),
     IF(OR(B68="ALI",B68="AIE"),"L",IF(ISBLANK(B68),"","A")),
     IF(B68="EE",IF(F68&gt;=3,IF(D68&gt;=5,"H","A"),
     IF(F68&gt;=2,IF(D68&gt;=16,"H",IF(D68&lt;=4,"L","A")),IF(D68&lt;=15,"L","A"))),
     IF(OR(B68="SE",B68="CE"),IF(F68&gt;=4,IF(D68&gt;=6,"H","A"),IF(F68&gt;=2,IF(D68&gt;=20,"H",IF(D68&lt;=5,"L","A")),IF(D68&lt;=19,"L","A"))),
     IF(OR(B68="ALI",B68="AIE"),IF(F68&gt;=6,IF(D68&gt;=20,"H","A"),IF(F68&gt;=2,IF(D68&gt;=51,"H",IF(D68&lt;=19,"L","A")),IF(D68&lt;=50,"L","A"))))))),
IF('Dados da OS'!$D$8=Parâmetros!$B$6,"Indicativa",
IF('Dados da OS'!$D$8=Parâmetros!$B$5,"PFS","")))</f>
        <v/>
      </c>
      <c r="M68" s="57">
        <f>IFERROR(VLOOKUP(C68,'Fatores de Impacto e INMs'!$A$3:$D$32,3,0),1)</f>
        <v>1</v>
      </c>
      <c r="N68" s="57">
        <f>IFERROR(VLOOKUP(C68,'Fatores de Impacto e INMs'!$A$3:$E$32,5,0),1)</f>
        <v>1</v>
      </c>
      <c r="O68" s="63" t="str">
        <f xml:space="preserve">
IF(OR('Dados da OS'!$D$8="Selecione o tipo da contagem",ISBLANK('Dados da OS'!$D$8),B68="INM",B68="N/A",ISBLANK(B68),ISBLANK(C68),N68="VF"),"-",
   IF('Dados da OS'!$D$8=Parâmetros!$B$3,
      IF(OR(ISBLANK(D68),ISBLANK(F68)),"-",
         IF(L68="L","Baixa",IF(L68="A","Média",IF(L68="H","Alta","-")))),
      IF('Dados da OS'!$D$8=Parâmetros!$B$4,
         IF(OR(B68="ALI",B68="AIE"),"Baixa",IF(OR(B68="EE",B68="SE",B68="CE"),"Média","-")),
         IF(OR('Dados da OS'!$D$8=Parâmetros!$B$5,'Dados da OS'!$D$8=Parâmetros!$B$6),"-"))))</f>
        <v>-</v>
      </c>
      <c r="P68" s="59" t="str">
        <f xml:space="preserve">
IF(OR(ISBLANK(B68),ISBLANK(C68),B68="N/A",ISBLANK('Dados da OS'!$D$8)),"",
   IF(OR('Dados da OS'!$D$8=Parâmetros!$B$3,'Dados da OS'!$D$8=Parâmetros!$B$4),
      IF(OR(AND(B68="INM",N68&lt;&gt;"VF"),AND(N68="VF",B68&lt;&gt;"INM")),"",
        IF(AND(B68="INM",N68="VF"),IF(ISBLANK(H68),"",M68*H68),
        IF('Dados da OS'!$D$8=Parâmetros!$B$4,
           IF(OR(B68="CE",B68="EE"),4,IF(B68="SE",5,IF(B68="ALI",7,IF(B68="AIE",5,"")))),
        IF('Dados da OS'!$D$8=Parâmetros!$B$3,
           IF(OR(ISBLANK(D68),ISBLANK(F68)),"",
              IF(B68="ALI",IF(L68="L",7,IF(L68="A",10,15)),
                 IF(B68="AIE",IF(L68="L",5,IF(L68="A",7,10)),
                    IF(B68="SE",IF(L68="L",4,IF(L68="A",5,7)),
                       IF(OR(B68="EE",B68="CE"),IF(L68="L",3,IF(L68="A",4,6)),""))))))))),
   IF('Dados da OS'!$D$8=Parâmetros!$B$5,
      IF(OR(AND(B68="INM",N68&lt;&gt;"VF"),AND(N68="VF",B68&lt;&gt;"INM")),"",
         IF(B68="INM",IF(N68="VF",M68*H68,""),
            IF(B68="PE",4.6,
            IF(B68="AL",7,"")))),
   IF('Dados da OS'!$D$8=Parâmetros!$B$6,
      IF(B68="ALI",35,IF(B68="AIE",15,"")),""))
    )
)</f>
        <v/>
      </c>
      <c r="Q68" s="60" t="str">
        <f t="shared" si="5"/>
        <v/>
      </c>
      <c r="R68" s="61"/>
      <c r="S68" s="62"/>
      <c r="T68" s="80" t="s">
        <v>21</v>
      </c>
      <c r="U68" s="81"/>
      <c r="V68" s="99"/>
      <c r="W68" s="55"/>
      <c r="X68" s="55"/>
      <c r="Y68" s="56"/>
      <c r="Z68" s="55"/>
      <c r="AA68" s="56"/>
      <c r="AB68" s="55"/>
      <c r="AC68" s="57" t="str">
        <f t="shared" si="6"/>
        <v/>
      </c>
      <c r="AD68" s="57" t="str">
        <f t="shared" si="7"/>
        <v/>
      </c>
      <c r="AE68" s="57" t="str">
        <f xml:space="preserve">
IF(OR('Dados da OS'!$D$8=Parâmetros!$B$3,'Dados da OS'!$D$8=Parâmetros!$B$4),
  IF(OR(ISBLANK(X68),ISBLANK(Z68)),
     IF(OR(V68="ALI",V68="AIE"),"L",IF(ISBLANK(V68),"","A")),
     IF(V68="EE",IF(Z68&gt;=3,IF(X68&gt;=5,"H","A"),
     IF(Z68&gt;=2,IF(X68&gt;=16,"H",IF(X68&lt;=4,"L","A")),IF(X68&lt;=15,"L","A"))),
     IF(OR(V68="SE",V68="CE"),IF(Z68&gt;=4,IF(X68&gt;=6,"H","A"),IF(Z68&gt;=2,IF(X68&gt;=20,"H",IF(X68&lt;=5,"L","A")),IF(X68&lt;=19,"L","A"))),
     IF(OR(V68="ALI",V68="AIE"),IF(Z68&gt;=6,IF(X68&gt;=20,"H","A"),IF(Z68&gt;=2,IF(X68&gt;=51,"H",IF(X68&lt;=19,"L","A")),IF(X68&lt;=50,"L","A"))))))),
IF('Dados da OS'!$D$8=Parâmetros!$B$6,"Indicativa",
IF('Dados da OS'!$D$8=Parâmetros!$B$5,"PFS","")))</f>
        <v/>
      </c>
      <c r="AF68" s="57">
        <f>IFERROR(VLOOKUP(W68,'Fatores de Impacto e INMs'!$A$3:$D$32,3,0),1)</f>
        <v>1</v>
      </c>
      <c r="AG68" s="57">
        <f>IFERROR(VLOOKUP(W68,'Fatores de Impacto e INMs'!$A$3:$E$32,5,0),1)</f>
        <v>1</v>
      </c>
      <c r="AH68" s="82" t="str">
        <f xml:space="preserve">
IF(OR('Dados da OS'!$D$8="Selecione o tipo da contagem",ISBLANK('Dados da OS'!$D$8),V68="INM",V68="N/A",ISBLANK(V68),ISBLANK(W68),AG68="VF"),"-",
   IF('Dados da OS'!$D$8=Parâmetros!$B$3,
      IF(OR(ISBLANK(X68),ISBLANK(Z68)),"-",
         IF(AE68="L","Baixa",IF(AE68="A","Média",IF(AE68="H","Alta","-")))),
      IF('Dados da OS'!$D$8=Parâmetros!$B$4,
         IF(OR(V68="ALI",V68="AIE"),"Baixa",IF(OR(V68="EE",V68="SE",V68="CE"),"Média","-")),
         IF(OR('Dados da OS'!$D$8=Parâmetros!$B$5,'Dados da OS'!$D$8=Parâmetros!$B$6),"-"))))</f>
        <v>-</v>
      </c>
      <c r="AI68" s="83" t="str">
        <f xml:space="preserve">
IF(OR(ISBLANK(V68),ISBLANK(U68),ISBLANK(W68),V68="N/A",ISBLANK('Dados da OS'!$D$8)),"",
   IF(OR('Dados da OS'!$D$8=Parâmetros!$B$3,'Dados da OS'!$D$8=Parâmetros!$B$4),
      IF(OR(AND(V68="INM",AG68&lt;&gt;"VF"),AND(AG68="VF",V68&lt;&gt;"INM")),"",
        IF(AND(V68="INM",AG68="VF"),IF(ISBLANK(AB68),"",AF68*AB68),
        IF('Dados da OS'!$D$8=Parâmetros!$B$4,
           IF(OR(V68="CE",V68="EE"),4,IF(V68="SE",5,IF(V68="ALI",7,IF(V68="AIE",5,"")))),
        IF('Dados da OS'!$D$8=Parâmetros!$B$3,
           IF(OR(ISBLANK(X68),ISBLANK(Z68)),"",
              IF(V68="ALI",IF(AE68="L",7,IF(AE68="A",10,15)),
                 IF(V68="AIE",IF(AE68="L",5,IF(AE68="A",7,10)),
                    IF(V68="SE",IF(AE68="L",4,IF(AE68="A",5,7)),
                       IF(OR(V68="EE",V68="CE"),IF(AE68="L",3,IF(AE68="A",4,6)),""))))))))),
   IF('Dados da OS'!$D$8=Parâmetros!$B$5,
      IF(OR(AND(V68="INM",AG68&lt;&gt;"VF"),AND(AG68="VF",V68&lt;&gt;"INM")),"",
         IF(V68="INM",IF(AG68="VF",AF68*AB68,""),
            IF(V68="PE",4.6,
            IF(V68="AL",7,"")))),
   IF('Dados da OS'!$D$8=Parâmetros!$B$6,
      IF(V68="ALI",35,IF(V68="AIE",15,"")),""))
    )
)</f>
        <v/>
      </c>
      <c r="AJ68" s="82" t="str">
        <f t="shared" si="8"/>
        <v/>
      </c>
      <c r="AK68" s="84"/>
      <c r="AL68" s="85" t="s">
        <v>21</v>
      </c>
      <c r="AM68" s="86"/>
      <c r="AN68" s="85"/>
      <c r="AO68" s="87"/>
      <c r="AP68" s="85"/>
      <c r="AQ68" s="86"/>
      <c r="AR68" s="85"/>
    </row>
    <row r="69" spans="1:44" ht="15.75" customHeight="1">
      <c r="A69" s="54"/>
      <c r="B69" s="100"/>
      <c r="C69" s="55"/>
      <c r="D69" s="55"/>
      <c r="E69" s="56"/>
      <c r="F69" s="55"/>
      <c r="G69" s="56"/>
      <c r="H69" s="55"/>
      <c r="I69" s="64"/>
      <c r="J69" s="57" t="str">
        <f t="shared" si="11"/>
        <v/>
      </c>
      <c r="K69" s="57" t="str">
        <f t="shared" si="12"/>
        <v/>
      </c>
      <c r="L69" s="57" t="str">
        <f xml:space="preserve">
IF(OR('Dados da OS'!$D$8=Parâmetros!$B$3,'Dados da OS'!$D$8=Parâmetros!$B$4),
  IF(OR(ISBLANK(D69),ISBLANK(F69)),
     IF(OR(B69="ALI",B69="AIE"),"L",IF(ISBLANK(B69),"","A")),
     IF(B69="EE",IF(F69&gt;=3,IF(D69&gt;=5,"H","A"),
     IF(F69&gt;=2,IF(D69&gt;=16,"H",IF(D69&lt;=4,"L","A")),IF(D69&lt;=15,"L","A"))),
     IF(OR(B69="SE",B69="CE"),IF(F69&gt;=4,IF(D69&gt;=6,"H","A"),IF(F69&gt;=2,IF(D69&gt;=20,"H",IF(D69&lt;=5,"L","A")),IF(D69&lt;=19,"L","A"))),
     IF(OR(B69="ALI",B69="AIE"),IF(F69&gt;=6,IF(D69&gt;=20,"H","A"),IF(F69&gt;=2,IF(D69&gt;=51,"H",IF(D69&lt;=19,"L","A")),IF(D69&lt;=50,"L","A"))))))),
IF('Dados da OS'!$D$8=Parâmetros!$B$6,"Indicativa",
IF('Dados da OS'!$D$8=Parâmetros!$B$5,"PFS","")))</f>
        <v/>
      </c>
      <c r="M69" s="57">
        <f>IFERROR(VLOOKUP(C69,'Fatores de Impacto e INMs'!$A$3:$D$32,3,0),1)</f>
        <v>1</v>
      </c>
      <c r="N69" s="57">
        <f>IFERROR(VLOOKUP(C69,'Fatores de Impacto e INMs'!$A$3:$E$32,5,0),1)</f>
        <v>1</v>
      </c>
      <c r="O69" s="63" t="str">
        <f xml:space="preserve">
IF(OR('Dados da OS'!$D$8="Selecione o tipo da contagem",ISBLANK('Dados da OS'!$D$8),B69="INM",B69="N/A",ISBLANK(B69),ISBLANK(C69),N69="VF"),"-",
   IF('Dados da OS'!$D$8=Parâmetros!$B$3,
      IF(OR(ISBLANK(D69),ISBLANK(F69)),"-",
         IF(L69="L","Baixa",IF(L69="A","Média",IF(L69="H","Alta","-")))),
      IF('Dados da OS'!$D$8=Parâmetros!$B$4,
         IF(OR(B69="ALI",B69="AIE"),"Baixa",IF(OR(B69="EE",B69="SE",B69="CE"),"Média","-")),
         IF(OR('Dados da OS'!$D$8=Parâmetros!$B$5,'Dados da OS'!$D$8=Parâmetros!$B$6),"-"))))</f>
        <v>-</v>
      </c>
      <c r="P69" s="59" t="str">
        <f xml:space="preserve">
IF(OR(ISBLANK(B69),ISBLANK(C69),B69="N/A",ISBLANK('Dados da OS'!$D$8)),"",
   IF(OR('Dados da OS'!$D$8=Parâmetros!$B$3,'Dados da OS'!$D$8=Parâmetros!$B$4),
      IF(OR(AND(B69="INM",N69&lt;&gt;"VF"),AND(N69="VF",B69&lt;&gt;"INM")),"",
        IF(AND(B69="INM",N69="VF"),IF(ISBLANK(H69),"",M69*H69),
        IF('Dados da OS'!$D$8=Parâmetros!$B$4,
           IF(OR(B69="CE",B69="EE"),4,IF(B69="SE",5,IF(B69="ALI",7,IF(B69="AIE",5,"")))),
        IF('Dados da OS'!$D$8=Parâmetros!$B$3,
           IF(OR(ISBLANK(D69),ISBLANK(F69)),"",
              IF(B69="ALI",IF(L69="L",7,IF(L69="A",10,15)),
                 IF(B69="AIE",IF(L69="L",5,IF(L69="A",7,10)),
                    IF(B69="SE",IF(L69="L",4,IF(L69="A",5,7)),
                       IF(OR(B69="EE",B69="CE"),IF(L69="L",3,IF(L69="A",4,6)),""))))))))),
   IF('Dados da OS'!$D$8=Parâmetros!$B$5,
      IF(OR(AND(B69="INM",N69&lt;&gt;"VF"),AND(N69="VF",B69&lt;&gt;"INM")),"",
         IF(B69="INM",IF(N69="VF",M69*H69,""),
            IF(B69="PE",4.6,
            IF(B69="AL",7,"")))),
   IF('Dados da OS'!$D$8=Parâmetros!$B$6,
      IF(B69="ALI",35,IF(B69="AIE",15,"")),""))
    )
)</f>
        <v/>
      </c>
      <c r="Q69" s="60" t="str">
        <f t="shared" ref="Q69:Q132" si="13">IF(P69="","",IF(B69="INM",P69,P69*M69))</f>
        <v/>
      </c>
      <c r="R69" s="61"/>
      <c r="S69" s="62"/>
      <c r="T69" s="80" t="s">
        <v>21</v>
      </c>
      <c r="U69" s="81"/>
      <c r="V69" s="99"/>
      <c r="W69" s="55"/>
      <c r="X69" s="55"/>
      <c r="Y69" s="56"/>
      <c r="Z69" s="55"/>
      <c r="AA69" s="56"/>
      <c r="AB69" s="55"/>
      <c r="AC69" s="57" t="str">
        <f t="shared" ref="AC69:AC132" si="14">CONCATENATE(V69,AE69)</f>
        <v/>
      </c>
      <c r="AD69" s="57" t="str">
        <f t="shared" ref="AD69:AD132" si="15">CONCATENATE(V69,W69,AE69,AJ69)</f>
        <v/>
      </c>
      <c r="AE69" s="57" t="str">
        <f xml:space="preserve">
IF(OR('Dados da OS'!$D$8=Parâmetros!$B$3,'Dados da OS'!$D$8=Parâmetros!$B$4),
  IF(OR(ISBLANK(X69),ISBLANK(Z69)),
     IF(OR(V69="ALI",V69="AIE"),"L",IF(ISBLANK(V69),"","A")),
     IF(V69="EE",IF(Z69&gt;=3,IF(X69&gt;=5,"H","A"),
     IF(Z69&gt;=2,IF(X69&gt;=16,"H",IF(X69&lt;=4,"L","A")),IF(X69&lt;=15,"L","A"))),
     IF(OR(V69="SE",V69="CE"),IF(Z69&gt;=4,IF(X69&gt;=6,"H","A"),IF(Z69&gt;=2,IF(X69&gt;=20,"H",IF(X69&lt;=5,"L","A")),IF(X69&lt;=19,"L","A"))),
     IF(OR(V69="ALI",V69="AIE"),IF(Z69&gt;=6,IF(X69&gt;=20,"H","A"),IF(Z69&gt;=2,IF(X69&gt;=51,"H",IF(X69&lt;=19,"L","A")),IF(X69&lt;=50,"L","A"))))))),
IF('Dados da OS'!$D$8=Parâmetros!$B$6,"Indicativa",
IF('Dados da OS'!$D$8=Parâmetros!$B$5,"PFS","")))</f>
        <v/>
      </c>
      <c r="AF69" s="57">
        <f>IFERROR(VLOOKUP(W69,'Fatores de Impacto e INMs'!$A$3:$D$32,3,0),1)</f>
        <v>1</v>
      </c>
      <c r="AG69" s="57">
        <f>IFERROR(VLOOKUP(W69,'Fatores de Impacto e INMs'!$A$3:$E$32,5,0),1)</f>
        <v>1</v>
      </c>
      <c r="AH69" s="82" t="str">
        <f xml:space="preserve">
IF(OR('Dados da OS'!$D$8="Selecione o tipo da contagem",ISBLANK('Dados da OS'!$D$8),V69="INM",V69="N/A",ISBLANK(V69),ISBLANK(W69),AG69="VF"),"-",
   IF('Dados da OS'!$D$8=Parâmetros!$B$3,
      IF(OR(ISBLANK(X69),ISBLANK(Z69)),"-",
         IF(AE69="L","Baixa",IF(AE69="A","Média",IF(AE69="H","Alta","-")))),
      IF('Dados da OS'!$D$8=Parâmetros!$B$4,
         IF(OR(V69="ALI",V69="AIE"),"Baixa",IF(OR(V69="EE",V69="SE",V69="CE"),"Média","-")),
         IF(OR('Dados da OS'!$D$8=Parâmetros!$B$5,'Dados da OS'!$D$8=Parâmetros!$B$6),"-"))))</f>
        <v>-</v>
      </c>
      <c r="AI69" s="83" t="str">
        <f xml:space="preserve">
IF(OR(ISBLANK(V69),ISBLANK(U69),ISBLANK(W69),V69="N/A",ISBLANK('Dados da OS'!$D$8)),"",
   IF(OR('Dados da OS'!$D$8=Parâmetros!$B$3,'Dados da OS'!$D$8=Parâmetros!$B$4),
      IF(OR(AND(V69="INM",AG69&lt;&gt;"VF"),AND(AG69="VF",V69&lt;&gt;"INM")),"",
        IF(AND(V69="INM",AG69="VF"),IF(ISBLANK(AB69),"",AF69*AB69),
        IF('Dados da OS'!$D$8=Parâmetros!$B$4,
           IF(OR(V69="CE",V69="EE"),4,IF(V69="SE",5,IF(V69="ALI",7,IF(V69="AIE",5,"")))),
        IF('Dados da OS'!$D$8=Parâmetros!$B$3,
           IF(OR(ISBLANK(X69),ISBLANK(Z69)),"",
              IF(V69="ALI",IF(AE69="L",7,IF(AE69="A",10,15)),
                 IF(V69="AIE",IF(AE69="L",5,IF(AE69="A",7,10)),
                    IF(V69="SE",IF(AE69="L",4,IF(AE69="A",5,7)),
                       IF(OR(V69="EE",V69="CE"),IF(AE69="L",3,IF(AE69="A",4,6)),""))))))))),
   IF('Dados da OS'!$D$8=Parâmetros!$B$5,
      IF(OR(AND(V69="INM",AG69&lt;&gt;"VF"),AND(AG69="VF",V69&lt;&gt;"INM")),"",
         IF(V69="INM",IF(AG69="VF",AF69*AB69,""),
            IF(V69="PE",4.6,
            IF(V69="AL",7,"")))),
   IF('Dados da OS'!$D$8=Parâmetros!$B$6,
      IF(V69="ALI",35,IF(V69="AIE",15,"")),""))
    )
)</f>
        <v/>
      </c>
      <c r="AJ69" s="82" t="str">
        <f t="shared" ref="AJ69:AJ132" si="16">IF(AI69="","",IF(V69="INM",AI69,AI69*AF69))</f>
        <v/>
      </c>
      <c r="AK69" s="84"/>
      <c r="AL69" s="85" t="s">
        <v>21</v>
      </c>
      <c r="AM69" s="86"/>
      <c r="AN69" s="85"/>
      <c r="AO69" s="87"/>
      <c r="AP69" s="85"/>
      <c r="AQ69" s="86"/>
      <c r="AR69" s="85"/>
    </row>
    <row r="70" spans="1:44" ht="15.75" customHeight="1">
      <c r="A70" s="54"/>
      <c r="B70" s="100"/>
      <c r="C70" s="55"/>
      <c r="D70" s="55"/>
      <c r="E70" s="56"/>
      <c r="F70" s="55"/>
      <c r="G70" s="56"/>
      <c r="H70" s="55"/>
      <c r="I70" s="64"/>
      <c r="J70" s="57" t="str">
        <f t="shared" si="11"/>
        <v/>
      </c>
      <c r="K70" s="57" t="str">
        <f t="shared" si="12"/>
        <v/>
      </c>
      <c r="L70" s="57" t="str">
        <f xml:space="preserve">
IF(OR('Dados da OS'!$D$8=Parâmetros!$B$3,'Dados da OS'!$D$8=Parâmetros!$B$4),
  IF(OR(ISBLANK(D70),ISBLANK(F70)),
     IF(OR(B70="ALI",B70="AIE"),"L",IF(ISBLANK(B70),"","A")),
     IF(B70="EE",IF(F70&gt;=3,IF(D70&gt;=5,"H","A"),
     IF(F70&gt;=2,IF(D70&gt;=16,"H",IF(D70&lt;=4,"L","A")),IF(D70&lt;=15,"L","A"))),
     IF(OR(B70="SE",B70="CE"),IF(F70&gt;=4,IF(D70&gt;=6,"H","A"),IF(F70&gt;=2,IF(D70&gt;=20,"H",IF(D70&lt;=5,"L","A")),IF(D70&lt;=19,"L","A"))),
     IF(OR(B70="ALI",B70="AIE"),IF(F70&gt;=6,IF(D70&gt;=20,"H","A"),IF(F70&gt;=2,IF(D70&gt;=51,"H",IF(D70&lt;=19,"L","A")),IF(D70&lt;=50,"L","A"))))))),
IF('Dados da OS'!$D$8=Parâmetros!$B$6,"Indicativa",
IF('Dados da OS'!$D$8=Parâmetros!$B$5,"PFS","")))</f>
        <v/>
      </c>
      <c r="M70" s="57">
        <f>IFERROR(VLOOKUP(C70,'Fatores de Impacto e INMs'!$A$3:$D$32,3,0),1)</f>
        <v>1</v>
      </c>
      <c r="N70" s="57">
        <f>IFERROR(VLOOKUP(C70,'Fatores de Impacto e INMs'!$A$3:$E$32,5,0),1)</f>
        <v>1</v>
      </c>
      <c r="O70" s="63" t="str">
        <f xml:space="preserve">
IF(OR('Dados da OS'!$D$8="Selecione o tipo da contagem",ISBLANK('Dados da OS'!$D$8),B70="INM",B70="N/A",ISBLANK(B70),ISBLANK(C70),N70="VF"),"-",
   IF('Dados da OS'!$D$8=Parâmetros!$B$3,
      IF(OR(ISBLANK(D70),ISBLANK(F70)),"-",
         IF(L70="L","Baixa",IF(L70="A","Média",IF(L70="H","Alta","-")))),
      IF('Dados da OS'!$D$8=Parâmetros!$B$4,
         IF(OR(B70="ALI",B70="AIE"),"Baixa",IF(OR(B70="EE",B70="SE",B70="CE"),"Média","-")),
         IF(OR('Dados da OS'!$D$8=Parâmetros!$B$5,'Dados da OS'!$D$8=Parâmetros!$B$6),"-"))))</f>
        <v>-</v>
      </c>
      <c r="P70" s="59" t="str">
        <f xml:space="preserve">
IF(OR(ISBLANK(B70),ISBLANK(C70),B70="N/A",ISBLANK('Dados da OS'!$D$8)),"",
   IF(OR('Dados da OS'!$D$8=Parâmetros!$B$3,'Dados da OS'!$D$8=Parâmetros!$B$4),
      IF(OR(AND(B70="INM",N70&lt;&gt;"VF"),AND(N70="VF",B70&lt;&gt;"INM")),"",
        IF(AND(B70="INM",N70="VF"),IF(ISBLANK(H70),"",M70*H70),
        IF('Dados da OS'!$D$8=Parâmetros!$B$4,
           IF(OR(B70="CE",B70="EE"),4,IF(B70="SE",5,IF(B70="ALI",7,IF(B70="AIE",5,"")))),
        IF('Dados da OS'!$D$8=Parâmetros!$B$3,
           IF(OR(ISBLANK(D70),ISBLANK(F70)),"",
              IF(B70="ALI",IF(L70="L",7,IF(L70="A",10,15)),
                 IF(B70="AIE",IF(L70="L",5,IF(L70="A",7,10)),
                    IF(B70="SE",IF(L70="L",4,IF(L70="A",5,7)),
                       IF(OR(B70="EE",B70="CE"),IF(L70="L",3,IF(L70="A",4,6)),""))))))))),
   IF('Dados da OS'!$D$8=Parâmetros!$B$5,
      IF(OR(AND(B70="INM",N70&lt;&gt;"VF"),AND(N70="VF",B70&lt;&gt;"INM")),"",
         IF(B70="INM",IF(N70="VF",M70*H70,""),
            IF(B70="PE",4.6,
            IF(B70="AL",7,"")))),
   IF('Dados da OS'!$D$8=Parâmetros!$B$6,
      IF(B70="ALI",35,IF(B70="AIE",15,"")),""))
    )
)</f>
        <v/>
      </c>
      <c r="Q70" s="60" t="str">
        <f t="shared" si="13"/>
        <v/>
      </c>
      <c r="R70" s="61"/>
      <c r="S70" s="62"/>
      <c r="T70" s="80" t="s">
        <v>21</v>
      </c>
      <c r="U70" s="81"/>
      <c r="V70" s="99"/>
      <c r="W70" s="55"/>
      <c r="X70" s="55"/>
      <c r="Y70" s="56"/>
      <c r="Z70" s="55"/>
      <c r="AA70" s="56"/>
      <c r="AB70" s="55"/>
      <c r="AC70" s="57" t="str">
        <f t="shared" si="14"/>
        <v/>
      </c>
      <c r="AD70" s="57" t="str">
        <f t="shared" si="15"/>
        <v/>
      </c>
      <c r="AE70" s="57" t="str">
        <f xml:space="preserve">
IF(OR('Dados da OS'!$D$8=Parâmetros!$B$3,'Dados da OS'!$D$8=Parâmetros!$B$4),
  IF(OR(ISBLANK(X70),ISBLANK(Z70)),
     IF(OR(V70="ALI",V70="AIE"),"L",IF(ISBLANK(V70),"","A")),
     IF(V70="EE",IF(Z70&gt;=3,IF(X70&gt;=5,"H","A"),
     IF(Z70&gt;=2,IF(X70&gt;=16,"H",IF(X70&lt;=4,"L","A")),IF(X70&lt;=15,"L","A"))),
     IF(OR(V70="SE",V70="CE"),IF(Z70&gt;=4,IF(X70&gt;=6,"H","A"),IF(Z70&gt;=2,IF(X70&gt;=20,"H",IF(X70&lt;=5,"L","A")),IF(X70&lt;=19,"L","A"))),
     IF(OR(V70="ALI",V70="AIE"),IF(Z70&gt;=6,IF(X70&gt;=20,"H","A"),IF(Z70&gt;=2,IF(X70&gt;=51,"H",IF(X70&lt;=19,"L","A")),IF(X70&lt;=50,"L","A"))))))),
IF('Dados da OS'!$D$8=Parâmetros!$B$6,"Indicativa",
IF('Dados da OS'!$D$8=Parâmetros!$B$5,"PFS","")))</f>
        <v/>
      </c>
      <c r="AF70" s="57">
        <f>IFERROR(VLOOKUP(W70,'Fatores de Impacto e INMs'!$A$3:$D$32,3,0),1)</f>
        <v>1</v>
      </c>
      <c r="AG70" s="57">
        <f>IFERROR(VLOOKUP(W70,'Fatores de Impacto e INMs'!$A$3:$E$32,5,0),1)</f>
        <v>1</v>
      </c>
      <c r="AH70" s="82" t="str">
        <f xml:space="preserve">
IF(OR('Dados da OS'!$D$8="Selecione o tipo da contagem",ISBLANK('Dados da OS'!$D$8),V70="INM",V70="N/A",ISBLANK(V70),ISBLANK(W70),AG70="VF"),"-",
   IF('Dados da OS'!$D$8=Parâmetros!$B$3,
      IF(OR(ISBLANK(X70),ISBLANK(Z70)),"-",
         IF(AE70="L","Baixa",IF(AE70="A","Média",IF(AE70="H","Alta","-")))),
      IF('Dados da OS'!$D$8=Parâmetros!$B$4,
         IF(OR(V70="ALI",V70="AIE"),"Baixa",IF(OR(V70="EE",V70="SE",V70="CE"),"Média","-")),
         IF(OR('Dados da OS'!$D$8=Parâmetros!$B$5,'Dados da OS'!$D$8=Parâmetros!$B$6),"-"))))</f>
        <v>-</v>
      </c>
      <c r="AI70" s="83" t="str">
        <f xml:space="preserve">
IF(OR(ISBLANK(V70),ISBLANK(U70),ISBLANK(W70),V70="N/A",ISBLANK('Dados da OS'!$D$8)),"",
   IF(OR('Dados da OS'!$D$8=Parâmetros!$B$3,'Dados da OS'!$D$8=Parâmetros!$B$4),
      IF(OR(AND(V70="INM",AG70&lt;&gt;"VF"),AND(AG70="VF",V70&lt;&gt;"INM")),"",
        IF(AND(V70="INM",AG70="VF"),IF(ISBLANK(AB70),"",AF70*AB70),
        IF('Dados da OS'!$D$8=Parâmetros!$B$4,
           IF(OR(V70="CE",V70="EE"),4,IF(V70="SE",5,IF(V70="ALI",7,IF(V70="AIE",5,"")))),
        IF('Dados da OS'!$D$8=Parâmetros!$B$3,
           IF(OR(ISBLANK(X70),ISBLANK(Z70)),"",
              IF(V70="ALI",IF(AE70="L",7,IF(AE70="A",10,15)),
                 IF(V70="AIE",IF(AE70="L",5,IF(AE70="A",7,10)),
                    IF(V70="SE",IF(AE70="L",4,IF(AE70="A",5,7)),
                       IF(OR(V70="EE",V70="CE"),IF(AE70="L",3,IF(AE70="A",4,6)),""))))))))),
   IF('Dados da OS'!$D$8=Parâmetros!$B$5,
      IF(OR(AND(V70="INM",AG70&lt;&gt;"VF"),AND(AG70="VF",V70&lt;&gt;"INM")),"",
         IF(V70="INM",IF(AG70="VF",AF70*AB70,""),
            IF(V70="PE",4.6,
            IF(V70="AL",7,"")))),
   IF('Dados da OS'!$D$8=Parâmetros!$B$6,
      IF(V70="ALI",35,IF(V70="AIE",15,"")),""))
    )
)</f>
        <v/>
      </c>
      <c r="AJ70" s="82" t="str">
        <f t="shared" si="16"/>
        <v/>
      </c>
      <c r="AK70" s="84"/>
      <c r="AL70" s="85" t="s">
        <v>21</v>
      </c>
      <c r="AM70" s="86"/>
      <c r="AN70" s="85"/>
      <c r="AO70" s="87"/>
      <c r="AP70" s="85"/>
      <c r="AQ70" s="86"/>
      <c r="AR70" s="85"/>
    </row>
    <row r="71" spans="1:44" ht="15.75" customHeight="1">
      <c r="A71" s="54"/>
      <c r="B71" s="100"/>
      <c r="C71" s="55"/>
      <c r="D71" s="55"/>
      <c r="E71" s="56"/>
      <c r="F71" s="55"/>
      <c r="G71" s="56"/>
      <c r="H71" s="55"/>
      <c r="I71" s="64"/>
      <c r="J71" s="57" t="str">
        <f t="shared" si="11"/>
        <v/>
      </c>
      <c r="K71" s="57" t="str">
        <f t="shared" si="12"/>
        <v/>
      </c>
      <c r="L71" s="57" t="str">
        <f xml:space="preserve">
IF(OR('Dados da OS'!$D$8=Parâmetros!$B$3,'Dados da OS'!$D$8=Parâmetros!$B$4),
  IF(OR(ISBLANK(D71),ISBLANK(F71)),
     IF(OR(B71="ALI",B71="AIE"),"L",IF(ISBLANK(B71),"","A")),
     IF(B71="EE",IF(F71&gt;=3,IF(D71&gt;=5,"H","A"),
     IF(F71&gt;=2,IF(D71&gt;=16,"H",IF(D71&lt;=4,"L","A")),IF(D71&lt;=15,"L","A"))),
     IF(OR(B71="SE",B71="CE"),IF(F71&gt;=4,IF(D71&gt;=6,"H","A"),IF(F71&gt;=2,IF(D71&gt;=20,"H",IF(D71&lt;=5,"L","A")),IF(D71&lt;=19,"L","A"))),
     IF(OR(B71="ALI",B71="AIE"),IF(F71&gt;=6,IF(D71&gt;=20,"H","A"),IF(F71&gt;=2,IF(D71&gt;=51,"H",IF(D71&lt;=19,"L","A")),IF(D71&lt;=50,"L","A"))))))),
IF('Dados da OS'!$D$8=Parâmetros!$B$6,"Indicativa",
IF('Dados da OS'!$D$8=Parâmetros!$B$5,"PFS","")))</f>
        <v/>
      </c>
      <c r="M71" s="57">
        <f>IFERROR(VLOOKUP(C71,'Fatores de Impacto e INMs'!$A$3:$D$32,3,0),1)</f>
        <v>1</v>
      </c>
      <c r="N71" s="57">
        <f>IFERROR(VLOOKUP(C71,'Fatores de Impacto e INMs'!$A$3:$E$32,5,0),1)</f>
        <v>1</v>
      </c>
      <c r="O71" s="63" t="str">
        <f xml:space="preserve">
IF(OR('Dados da OS'!$D$8="Selecione o tipo da contagem",ISBLANK('Dados da OS'!$D$8),B71="INM",B71="N/A",ISBLANK(B71),ISBLANK(C71),N71="VF"),"-",
   IF('Dados da OS'!$D$8=Parâmetros!$B$3,
      IF(OR(ISBLANK(D71),ISBLANK(F71)),"-",
         IF(L71="L","Baixa",IF(L71="A","Média",IF(L71="H","Alta","-")))),
      IF('Dados da OS'!$D$8=Parâmetros!$B$4,
         IF(OR(B71="ALI",B71="AIE"),"Baixa",IF(OR(B71="EE",B71="SE",B71="CE"),"Média","-")),
         IF(OR('Dados da OS'!$D$8=Parâmetros!$B$5,'Dados da OS'!$D$8=Parâmetros!$B$6),"-"))))</f>
        <v>-</v>
      </c>
      <c r="P71" s="59" t="str">
        <f xml:space="preserve">
IF(OR(ISBLANK(B71),ISBLANK(C71),B71="N/A",ISBLANK('Dados da OS'!$D$8)),"",
   IF(OR('Dados da OS'!$D$8=Parâmetros!$B$3,'Dados da OS'!$D$8=Parâmetros!$B$4),
      IF(OR(AND(B71="INM",N71&lt;&gt;"VF"),AND(N71="VF",B71&lt;&gt;"INM")),"",
        IF(AND(B71="INM",N71="VF"),IF(ISBLANK(H71),"",M71*H71),
        IF('Dados da OS'!$D$8=Parâmetros!$B$4,
           IF(OR(B71="CE",B71="EE"),4,IF(B71="SE",5,IF(B71="ALI",7,IF(B71="AIE",5,"")))),
        IF('Dados da OS'!$D$8=Parâmetros!$B$3,
           IF(OR(ISBLANK(D71),ISBLANK(F71)),"",
              IF(B71="ALI",IF(L71="L",7,IF(L71="A",10,15)),
                 IF(B71="AIE",IF(L71="L",5,IF(L71="A",7,10)),
                    IF(B71="SE",IF(L71="L",4,IF(L71="A",5,7)),
                       IF(OR(B71="EE",B71="CE"),IF(L71="L",3,IF(L71="A",4,6)),""))))))))),
   IF('Dados da OS'!$D$8=Parâmetros!$B$5,
      IF(OR(AND(B71="INM",N71&lt;&gt;"VF"),AND(N71="VF",B71&lt;&gt;"INM")),"",
         IF(B71="INM",IF(N71="VF",M71*H71,""),
            IF(B71="PE",4.6,
            IF(B71="AL",7,"")))),
   IF('Dados da OS'!$D$8=Parâmetros!$B$6,
      IF(B71="ALI",35,IF(B71="AIE",15,"")),""))
    )
)</f>
        <v/>
      </c>
      <c r="Q71" s="60" t="str">
        <f t="shared" si="13"/>
        <v/>
      </c>
      <c r="R71" s="61"/>
      <c r="S71" s="62"/>
      <c r="T71" s="80" t="s">
        <v>21</v>
      </c>
      <c r="U71" s="81"/>
      <c r="V71" s="99"/>
      <c r="W71" s="55"/>
      <c r="X71" s="55"/>
      <c r="Y71" s="56"/>
      <c r="Z71" s="55"/>
      <c r="AA71" s="56"/>
      <c r="AB71" s="55"/>
      <c r="AC71" s="57" t="str">
        <f t="shared" si="14"/>
        <v/>
      </c>
      <c r="AD71" s="57" t="str">
        <f t="shared" si="15"/>
        <v/>
      </c>
      <c r="AE71" s="57" t="str">
        <f xml:space="preserve">
IF(OR('Dados da OS'!$D$8=Parâmetros!$B$3,'Dados da OS'!$D$8=Parâmetros!$B$4),
  IF(OR(ISBLANK(X71),ISBLANK(Z71)),
     IF(OR(V71="ALI",V71="AIE"),"L",IF(ISBLANK(V71),"","A")),
     IF(V71="EE",IF(Z71&gt;=3,IF(X71&gt;=5,"H","A"),
     IF(Z71&gt;=2,IF(X71&gt;=16,"H",IF(X71&lt;=4,"L","A")),IF(X71&lt;=15,"L","A"))),
     IF(OR(V71="SE",V71="CE"),IF(Z71&gt;=4,IF(X71&gt;=6,"H","A"),IF(Z71&gt;=2,IF(X71&gt;=20,"H",IF(X71&lt;=5,"L","A")),IF(X71&lt;=19,"L","A"))),
     IF(OR(V71="ALI",V71="AIE"),IF(Z71&gt;=6,IF(X71&gt;=20,"H","A"),IF(Z71&gt;=2,IF(X71&gt;=51,"H",IF(X71&lt;=19,"L","A")),IF(X71&lt;=50,"L","A"))))))),
IF('Dados da OS'!$D$8=Parâmetros!$B$6,"Indicativa",
IF('Dados da OS'!$D$8=Parâmetros!$B$5,"PFS","")))</f>
        <v/>
      </c>
      <c r="AF71" s="57">
        <f>IFERROR(VLOOKUP(W71,'Fatores de Impacto e INMs'!$A$3:$D$32,3,0),1)</f>
        <v>1</v>
      </c>
      <c r="AG71" s="57">
        <f>IFERROR(VLOOKUP(W71,'Fatores de Impacto e INMs'!$A$3:$E$32,5,0),1)</f>
        <v>1</v>
      </c>
      <c r="AH71" s="82" t="str">
        <f xml:space="preserve">
IF(OR('Dados da OS'!$D$8="Selecione o tipo da contagem",ISBLANK('Dados da OS'!$D$8),V71="INM",V71="N/A",ISBLANK(V71),ISBLANK(W71),AG71="VF"),"-",
   IF('Dados da OS'!$D$8=Parâmetros!$B$3,
      IF(OR(ISBLANK(X71),ISBLANK(Z71)),"-",
         IF(AE71="L","Baixa",IF(AE71="A","Média",IF(AE71="H","Alta","-")))),
      IF('Dados da OS'!$D$8=Parâmetros!$B$4,
         IF(OR(V71="ALI",V71="AIE"),"Baixa",IF(OR(V71="EE",V71="SE",V71="CE"),"Média","-")),
         IF(OR('Dados da OS'!$D$8=Parâmetros!$B$5,'Dados da OS'!$D$8=Parâmetros!$B$6),"-"))))</f>
        <v>-</v>
      </c>
      <c r="AI71" s="83" t="str">
        <f xml:space="preserve">
IF(OR(ISBLANK(V71),ISBLANK(U71),ISBLANK(W71),V71="N/A",ISBLANK('Dados da OS'!$D$8)),"",
   IF(OR('Dados da OS'!$D$8=Parâmetros!$B$3,'Dados da OS'!$D$8=Parâmetros!$B$4),
      IF(OR(AND(V71="INM",AG71&lt;&gt;"VF"),AND(AG71="VF",V71&lt;&gt;"INM")),"",
        IF(AND(V71="INM",AG71="VF"),IF(ISBLANK(AB71),"",AF71*AB71),
        IF('Dados da OS'!$D$8=Parâmetros!$B$4,
           IF(OR(V71="CE",V71="EE"),4,IF(V71="SE",5,IF(V71="ALI",7,IF(V71="AIE",5,"")))),
        IF('Dados da OS'!$D$8=Parâmetros!$B$3,
           IF(OR(ISBLANK(X71),ISBLANK(Z71)),"",
              IF(V71="ALI",IF(AE71="L",7,IF(AE71="A",10,15)),
                 IF(V71="AIE",IF(AE71="L",5,IF(AE71="A",7,10)),
                    IF(V71="SE",IF(AE71="L",4,IF(AE71="A",5,7)),
                       IF(OR(V71="EE",V71="CE"),IF(AE71="L",3,IF(AE71="A",4,6)),""))))))))),
   IF('Dados da OS'!$D$8=Parâmetros!$B$5,
      IF(OR(AND(V71="INM",AG71&lt;&gt;"VF"),AND(AG71="VF",V71&lt;&gt;"INM")),"",
         IF(V71="INM",IF(AG71="VF",AF71*AB71,""),
            IF(V71="PE",4.6,
            IF(V71="AL",7,"")))),
   IF('Dados da OS'!$D$8=Parâmetros!$B$6,
      IF(V71="ALI",35,IF(V71="AIE",15,"")),""))
    )
)</f>
        <v/>
      </c>
      <c r="AJ71" s="82" t="str">
        <f t="shared" si="16"/>
        <v/>
      </c>
      <c r="AK71" s="84"/>
      <c r="AL71" s="85" t="s">
        <v>21</v>
      </c>
      <c r="AM71" s="86"/>
      <c r="AN71" s="85"/>
      <c r="AO71" s="87"/>
      <c r="AP71" s="85"/>
      <c r="AQ71" s="86"/>
      <c r="AR71" s="85"/>
    </row>
    <row r="72" spans="1:44" ht="15.75" customHeight="1">
      <c r="A72" s="54"/>
      <c r="B72" s="100"/>
      <c r="C72" s="55"/>
      <c r="D72" s="55"/>
      <c r="E72" s="56"/>
      <c r="F72" s="55"/>
      <c r="G72" s="56"/>
      <c r="H72" s="55"/>
      <c r="I72" s="64"/>
      <c r="J72" s="57" t="str">
        <f t="shared" si="11"/>
        <v/>
      </c>
      <c r="K72" s="57" t="str">
        <f t="shared" si="12"/>
        <v/>
      </c>
      <c r="L72" s="57" t="str">
        <f xml:space="preserve">
IF(OR('Dados da OS'!$D$8=Parâmetros!$B$3,'Dados da OS'!$D$8=Parâmetros!$B$4),
  IF(OR(ISBLANK(D72),ISBLANK(F72)),
     IF(OR(B72="ALI",B72="AIE"),"L",IF(ISBLANK(B72),"","A")),
     IF(B72="EE",IF(F72&gt;=3,IF(D72&gt;=5,"H","A"),
     IF(F72&gt;=2,IF(D72&gt;=16,"H",IF(D72&lt;=4,"L","A")),IF(D72&lt;=15,"L","A"))),
     IF(OR(B72="SE",B72="CE"),IF(F72&gt;=4,IF(D72&gt;=6,"H","A"),IF(F72&gt;=2,IF(D72&gt;=20,"H",IF(D72&lt;=5,"L","A")),IF(D72&lt;=19,"L","A"))),
     IF(OR(B72="ALI",B72="AIE"),IF(F72&gt;=6,IF(D72&gt;=20,"H","A"),IF(F72&gt;=2,IF(D72&gt;=51,"H",IF(D72&lt;=19,"L","A")),IF(D72&lt;=50,"L","A"))))))),
IF('Dados da OS'!$D$8=Parâmetros!$B$6,"Indicativa",
IF('Dados da OS'!$D$8=Parâmetros!$B$5,"PFS","")))</f>
        <v/>
      </c>
      <c r="M72" s="57">
        <f>IFERROR(VLOOKUP(C72,'Fatores de Impacto e INMs'!$A$3:$D$32,3,0),1)</f>
        <v>1</v>
      </c>
      <c r="N72" s="57">
        <f>IFERROR(VLOOKUP(C72,'Fatores de Impacto e INMs'!$A$3:$E$32,5,0),1)</f>
        <v>1</v>
      </c>
      <c r="O72" s="63" t="str">
        <f xml:space="preserve">
IF(OR('Dados da OS'!$D$8="Selecione o tipo da contagem",ISBLANK('Dados da OS'!$D$8),B72="INM",B72="N/A",ISBLANK(B72),ISBLANK(C72),N72="VF"),"-",
   IF('Dados da OS'!$D$8=Parâmetros!$B$3,
      IF(OR(ISBLANK(D72),ISBLANK(F72)),"-",
         IF(L72="L","Baixa",IF(L72="A","Média",IF(L72="H","Alta","-")))),
      IF('Dados da OS'!$D$8=Parâmetros!$B$4,
         IF(OR(B72="ALI",B72="AIE"),"Baixa",IF(OR(B72="EE",B72="SE",B72="CE"),"Média","-")),
         IF(OR('Dados da OS'!$D$8=Parâmetros!$B$5,'Dados da OS'!$D$8=Parâmetros!$B$6),"-"))))</f>
        <v>-</v>
      </c>
      <c r="P72" s="59" t="str">
        <f xml:space="preserve">
IF(OR(ISBLANK(B72),ISBLANK(C72),B72="N/A",ISBLANK('Dados da OS'!$D$8)),"",
   IF(OR('Dados da OS'!$D$8=Parâmetros!$B$3,'Dados da OS'!$D$8=Parâmetros!$B$4),
      IF(OR(AND(B72="INM",N72&lt;&gt;"VF"),AND(N72="VF",B72&lt;&gt;"INM")),"",
        IF(AND(B72="INM",N72="VF"),IF(ISBLANK(H72),"",M72*H72),
        IF('Dados da OS'!$D$8=Parâmetros!$B$4,
           IF(OR(B72="CE",B72="EE"),4,IF(B72="SE",5,IF(B72="ALI",7,IF(B72="AIE",5,"")))),
        IF('Dados da OS'!$D$8=Parâmetros!$B$3,
           IF(OR(ISBLANK(D72),ISBLANK(F72)),"",
              IF(B72="ALI",IF(L72="L",7,IF(L72="A",10,15)),
                 IF(B72="AIE",IF(L72="L",5,IF(L72="A",7,10)),
                    IF(B72="SE",IF(L72="L",4,IF(L72="A",5,7)),
                       IF(OR(B72="EE",B72="CE"),IF(L72="L",3,IF(L72="A",4,6)),""))))))))),
   IF('Dados da OS'!$D$8=Parâmetros!$B$5,
      IF(OR(AND(B72="INM",N72&lt;&gt;"VF"),AND(N72="VF",B72&lt;&gt;"INM")),"",
         IF(B72="INM",IF(N72="VF",M72*H72,""),
            IF(B72="PE",4.6,
            IF(B72="AL",7,"")))),
   IF('Dados da OS'!$D$8=Parâmetros!$B$6,
      IF(B72="ALI",35,IF(B72="AIE",15,"")),""))
    )
)</f>
        <v/>
      </c>
      <c r="Q72" s="60" t="str">
        <f t="shared" si="13"/>
        <v/>
      </c>
      <c r="R72" s="61"/>
      <c r="S72" s="62"/>
      <c r="T72" s="80" t="s">
        <v>21</v>
      </c>
      <c r="U72" s="81"/>
      <c r="V72" s="99"/>
      <c r="W72" s="55"/>
      <c r="X72" s="55"/>
      <c r="Y72" s="56"/>
      <c r="Z72" s="55"/>
      <c r="AA72" s="56"/>
      <c r="AB72" s="55"/>
      <c r="AC72" s="57" t="str">
        <f t="shared" si="14"/>
        <v/>
      </c>
      <c r="AD72" s="57" t="str">
        <f t="shared" si="15"/>
        <v/>
      </c>
      <c r="AE72" s="57" t="str">
        <f xml:space="preserve">
IF(OR('Dados da OS'!$D$8=Parâmetros!$B$3,'Dados da OS'!$D$8=Parâmetros!$B$4),
  IF(OR(ISBLANK(X72),ISBLANK(Z72)),
     IF(OR(V72="ALI",V72="AIE"),"L",IF(ISBLANK(V72),"","A")),
     IF(V72="EE",IF(Z72&gt;=3,IF(X72&gt;=5,"H","A"),
     IF(Z72&gt;=2,IF(X72&gt;=16,"H",IF(X72&lt;=4,"L","A")),IF(X72&lt;=15,"L","A"))),
     IF(OR(V72="SE",V72="CE"),IF(Z72&gt;=4,IF(X72&gt;=6,"H","A"),IF(Z72&gt;=2,IF(X72&gt;=20,"H",IF(X72&lt;=5,"L","A")),IF(X72&lt;=19,"L","A"))),
     IF(OR(V72="ALI",V72="AIE"),IF(Z72&gt;=6,IF(X72&gt;=20,"H","A"),IF(Z72&gt;=2,IF(X72&gt;=51,"H",IF(X72&lt;=19,"L","A")),IF(X72&lt;=50,"L","A"))))))),
IF('Dados da OS'!$D$8=Parâmetros!$B$6,"Indicativa",
IF('Dados da OS'!$D$8=Parâmetros!$B$5,"PFS","")))</f>
        <v/>
      </c>
      <c r="AF72" s="57">
        <f>IFERROR(VLOOKUP(W72,'Fatores de Impacto e INMs'!$A$3:$D$32,3,0),1)</f>
        <v>1</v>
      </c>
      <c r="AG72" s="57">
        <f>IFERROR(VLOOKUP(W72,'Fatores de Impacto e INMs'!$A$3:$E$32,5,0),1)</f>
        <v>1</v>
      </c>
      <c r="AH72" s="82" t="str">
        <f xml:space="preserve">
IF(OR('Dados da OS'!$D$8="Selecione o tipo da contagem",ISBLANK('Dados da OS'!$D$8),V72="INM",V72="N/A",ISBLANK(V72),ISBLANK(W72),AG72="VF"),"-",
   IF('Dados da OS'!$D$8=Parâmetros!$B$3,
      IF(OR(ISBLANK(X72),ISBLANK(Z72)),"-",
         IF(AE72="L","Baixa",IF(AE72="A","Média",IF(AE72="H","Alta","-")))),
      IF('Dados da OS'!$D$8=Parâmetros!$B$4,
         IF(OR(V72="ALI",V72="AIE"),"Baixa",IF(OR(V72="EE",V72="SE",V72="CE"),"Média","-")),
         IF(OR('Dados da OS'!$D$8=Parâmetros!$B$5,'Dados da OS'!$D$8=Parâmetros!$B$6),"-"))))</f>
        <v>-</v>
      </c>
      <c r="AI72" s="83" t="str">
        <f xml:space="preserve">
IF(OR(ISBLANK(V72),ISBLANK(U72),ISBLANK(W72),V72="N/A",ISBLANK('Dados da OS'!$D$8)),"",
   IF(OR('Dados da OS'!$D$8=Parâmetros!$B$3,'Dados da OS'!$D$8=Parâmetros!$B$4),
      IF(OR(AND(V72="INM",AG72&lt;&gt;"VF"),AND(AG72="VF",V72&lt;&gt;"INM")),"",
        IF(AND(V72="INM",AG72="VF"),IF(ISBLANK(AB72),"",AF72*AB72),
        IF('Dados da OS'!$D$8=Parâmetros!$B$4,
           IF(OR(V72="CE",V72="EE"),4,IF(V72="SE",5,IF(V72="ALI",7,IF(V72="AIE",5,"")))),
        IF('Dados da OS'!$D$8=Parâmetros!$B$3,
           IF(OR(ISBLANK(X72),ISBLANK(Z72)),"",
              IF(V72="ALI",IF(AE72="L",7,IF(AE72="A",10,15)),
                 IF(V72="AIE",IF(AE72="L",5,IF(AE72="A",7,10)),
                    IF(V72="SE",IF(AE72="L",4,IF(AE72="A",5,7)),
                       IF(OR(V72="EE",V72="CE"),IF(AE72="L",3,IF(AE72="A",4,6)),""))))))))),
   IF('Dados da OS'!$D$8=Parâmetros!$B$5,
      IF(OR(AND(V72="INM",AG72&lt;&gt;"VF"),AND(AG72="VF",V72&lt;&gt;"INM")),"",
         IF(V72="INM",IF(AG72="VF",AF72*AB72,""),
            IF(V72="PE",4.6,
            IF(V72="AL",7,"")))),
   IF('Dados da OS'!$D$8=Parâmetros!$B$6,
      IF(V72="ALI",35,IF(V72="AIE",15,"")),""))
    )
)</f>
        <v/>
      </c>
      <c r="AJ72" s="82" t="str">
        <f t="shared" si="16"/>
        <v/>
      </c>
      <c r="AK72" s="84"/>
      <c r="AL72" s="85" t="s">
        <v>21</v>
      </c>
      <c r="AM72" s="86"/>
      <c r="AN72" s="85"/>
      <c r="AO72" s="87"/>
      <c r="AP72" s="85"/>
      <c r="AQ72" s="86"/>
      <c r="AR72" s="85"/>
    </row>
    <row r="73" spans="1:44" ht="15.75" customHeight="1">
      <c r="A73" s="54"/>
      <c r="B73" s="100"/>
      <c r="C73" s="55"/>
      <c r="D73" s="55"/>
      <c r="E73" s="56"/>
      <c r="F73" s="55"/>
      <c r="G73" s="56"/>
      <c r="H73" s="55"/>
      <c r="I73" s="64"/>
      <c r="J73" s="57" t="str">
        <f t="shared" si="11"/>
        <v/>
      </c>
      <c r="K73" s="57" t="str">
        <f t="shared" si="12"/>
        <v/>
      </c>
      <c r="L73" s="57" t="str">
        <f xml:space="preserve">
IF(OR('Dados da OS'!$D$8=Parâmetros!$B$3,'Dados da OS'!$D$8=Parâmetros!$B$4),
  IF(OR(ISBLANK(D73),ISBLANK(F73)),
     IF(OR(B73="ALI",B73="AIE"),"L",IF(ISBLANK(B73),"","A")),
     IF(B73="EE",IF(F73&gt;=3,IF(D73&gt;=5,"H","A"),
     IF(F73&gt;=2,IF(D73&gt;=16,"H",IF(D73&lt;=4,"L","A")),IF(D73&lt;=15,"L","A"))),
     IF(OR(B73="SE",B73="CE"),IF(F73&gt;=4,IF(D73&gt;=6,"H","A"),IF(F73&gt;=2,IF(D73&gt;=20,"H",IF(D73&lt;=5,"L","A")),IF(D73&lt;=19,"L","A"))),
     IF(OR(B73="ALI",B73="AIE"),IF(F73&gt;=6,IF(D73&gt;=20,"H","A"),IF(F73&gt;=2,IF(D73&gt;=51,"H",IF(D73&lt;=19,"L","A")),IF(D73&lt;=50,"L","A"))))))),
IF('Dados da OS'!$D$8=Parâmetros!$B$6,"Indicativa",
IF('Dados da OS'!$D$8=Parâmetros!$B$5,"PFS","")))</f>
        <v/>
      </c>
      <c r="M73" s="57">
        <f>IFERROR(VLOOKUP(C73,'Fatores de Impacto e INMs'!$A$3:$D$32,3,0),1)</f>
        <v>1</v>
      </c>
      <c r="N73" s="57">
        <f>IFERROR(VLOOKUP(C73,'Fatores de Impacto e INMs'!$A$3:$E$32,5,0),1)</f>
        <v>1</v>
      </c>
      <c r="O73" s="63" t="str">
        <f xml:space="preserve">
IF(OR('Dados da OS'!$D$8="Selecione o tipo da contagem",ISBLANK('Dados da OS'!$D$8),B73="INM",B73="N/A",ISBLANK(B73),ISBLANK(C73),N73="VF"),"-",
   IF('Dados da OS'!$D$8=Parâmetros!$B$3,
      IF(OR(ISBLANK(D73),ISBLANK(F73)),"-",
         IF(L73="L","Baixa",IF(L73="A","Média",IF(L73="H","Alta","-")))),
      IF('Dados da OS'!$D$8=Parâmetros!$B$4,
         IF(OR(B73="ALI",B73="AIE"),"Baixa",IF(OR(B73="EE",B73="SE",B73="CE"),"Média","-")),
         IF(OR('Dados da OS'!$D$8=Parâmetros!$B$5,'Dados da OS'!$D$8=Parâmetros!$B$6),"-"))))</f>
        <v>-</v>
      </c>
      <c r="P73" s="59" t="str">
        <f xml:space="preserve">
IF(OR(ISBLANK(B73),ISBLANK(C73),B73="N/A",ISBLANK('Dados da OS'!$D$8)),"",
   IF(OR('Dados da OS'!$D$8=Parâmetros!$B$3,'Dados da OS'!$D$8=Parâmetros!$B$4),
      IF(OR(AND(B73="INM",N73&lt;&gt;"VF"),AND(N73="VF",B73&lt;&gt;"INM")),"",
        IF(AND(B73="INM",N73="VF"),IF(ISBLANK(H73),"",M73*H73),
        IF('Dados da OS'!$D$8=Parâmetros!$B$4,
           IF(OR(B73="CE",B73="EE"),4,IF(B73="SE",5,IF(B73="ALI",7,IF(B73="AIE",5,"")))),
        IF('Dados da OS'!$D$8=Parâmetros!$B$3,
           IF(OR(ISBLANK(D73),ISBLANK(F73)),"",
              IF(B73="ALI",IF(L73="L",7,IF(L73="A",10,15)),
                 IF(B73="AIE",IF(L73="L",5,IF(L73="A",7,10)),
                    IF(B73="SE",IF(L73="L",4,IF(L73="A",5,7)),
                       IF(OR(B73="EE",B73="CE"),IF(L73="L",3,IF(L73="A",4,6)),""))))))))),
   IF('Dados da OS'!$D$8=Parâmetros!$B$5,
      IF(OR(AND(B73="INM",N73&lt;&gt;"VF"),AND(N73="VF",B73&lt;&gt;"INM")),"",
         IF(B73="INM",IF(N73="VF",M73*H73,""),
            IF(B73="PE",4.6,
            IF(B73="AL",7,"")))),
   IF('Dados da OS'!$D$8=Parâmetros!$B$6,
      IF(B73="ALI",35,IF(B73="AIE",15,"")),""))
    )
)</f>
        <v/>
      </c>
      <c r="Q73" s="60" t="str">
        <f t="shared" si="13"/>
        <v/>
      </c>
      <c r="R73" s="61"/>
      <c r="S73" s="62"/>
      <c r="T73" s="80" t="s">
        <v>21</v>
      </c>
      <c r="U73" s="81"/>
      <c r="V73" s="99"/>
      <c r="W73" s="55"/>
      <c r="X73" s="55"/>
      <c r="Y73" s="56"/>
      <c r="Z73" s="55"/>
      <c r="AA73" s="56"/>
      <c r="AB73" s="55"/>
      <c r="AC73" s="57" t="str">
        <f t="shared" si="14"/>
        <v/>
      </c>
      <c r="AD73" s="57" t="str">
        <f t="shared" si="15"/>
        <v/>
      </c>
      <c r="AE73" s="57" t="str">
        <f xml:space="preserve">
IF(OR('Dados da OS'!$D$8=Parâmetros!$B$3,'Dados da OS'!$D$8=Parâmetros!$B$4),
  IF(OR(ISBLANK(X73),ISBLANK(Z73)),
     IF(OR(V73="ALI",V73="AIE"),"L",IF(ISBLANK(V73),"","A")),
     IF(V73="EE",IF(Z73&gt;=3,IF(X73&gt;=5,"H","A"),
     IF(Z73&gt;=2,IF(X73&gt;=16,"H",IF(X73&lt;=4,"L","A")),IF(X73&lt;=15,"L","A"))),
     IF(OR(V73="SE",V73="CE"),IF(Z73&gt;=4,IF(X73&gt;=6,"H","A"),IF(Z73&gt;=2,IF(X73&gt;=20,"H",IF(X73&lt;=5,"L","A")),IF(X73&lt;=19,"L","A"))),
     IF(OR(V73="ALI",V73="AIE"),IF(Z73&gt;=6,IF(X73&gt;=20,"H","A"),IF(Z73&gt;=2,IF(X73&gt;=51,"H",IF(X73&lt;=19,"L","A")),IF(X73&lt;=50,"L","A"))))))),
IF('Dados da OS'!$D$8=Parâmetros!$B$6,"Indicativa",
IF('Dados da OS'!$D$8=Parâmetros!$B$5,"PFS","")))</f>
        <v/>
      </c>
      <c r="AF73" s="57">
        <f>IFERROR(VLOOKUP(W73,'Fatores de Impacto e INMs'!$A$3:$D$32,3,0),1)</f>
        <v>1</v>
      </c>
      <c r="AG73" s="57">
        <f>IFERROR(VLOOKUP(W73,'Fatores de Impacto e INMs'!$A$3:$E$32,5,0),1)</f>
        <v>1</v>
      </c>
      <c r="AH73" s="82" t="str">
        <f xml:space="preserve">
IF(OR('Dados da OS'!$D$8="Selecione o tipo da contagem",ISBLANK('Dados da OS'!$D$8),V73="INM",V73="N/A",ISBLANK(V73),ISBLANK(W73),AG73="VF"),"-",
   IF('Dados da OS'!$D$8=Parâmetros!$B$3,
      IF(OR(ISBLANK(X73),ISBLANK(Z73)),"-",
         IF(AE73="L","Baixa",IF(AE73="A","Média",IF(AE73="H","Alta","-")))),
      IF('Dados da OS'!$D$8=Parâmetros!$B$4,
         IF(OR(V73="ALI",V73="AIE"),"Baixa",IF(OR(V73="EE",V73="SE",V73="CE"),"Média","-")),
         IF(OR('Dados da OS'!$D$8=Parâmetros!$B$5,'Dados da OS'!$D$8=Parâmetros!$B$6),"-"))))</f>
        <v>-</v>
      </c>
      <c r="AI73" s="83" t="str">
        <f xml:space="preserve">
IF(OR(ISBLANK(V73),ISBLANK(U73),ISBLANK(W73),V73="N/A",ISBLANK('Dados da OS'!$D$8)),"",
   IF(OR('Dados da OS'!$D$8=Parâmetros!$B$3,'Dados da OS'!$D$8=Parâmetros!$B$4),
      IF(OR(AND(V73="INM",AG73&lt;&gt;"VF"),AND(AG73="VF",V73&lt;&gt;"INM")),"",
        IF(AND(V73="INM",AG73="VF"),IF(ISBLANK(AB73),"",AF73*AB73),
        IF('Dados da OS'!$D$8=Parâmetros!$B$4,
           IF(OR(V73="CE",V73="EE"),4,IF(V73="SE",5,IF(V73="ALI",7,IF(V73="AIE",5,"")))),
        IF('Dados da OS'!$D$8=Parâmetros!$B$3,
           IF(OR(ISBLANK(X73),ISBLANK(Z73)),"",
              IF(V73="ALI",IF(AE73="L",7,IF(AE73="A",10,15)),
                 IF(V73="AIE",IF(AE73="L",5,IF(AE73="A",7,10)),
                    IF(V73="SE",IF(AE73="L",4,IF(AE73="A",5,7)),
                       IF(OR(V73="EE",V73="CE"),IF(AE73="L",3,IF(AE73="A",4,6)),""))))))))),
   IF('Dados da OS'!$D$8=Parâmetros!$B$5,
      IF(OR(AND(V73="INM",AG73&lt;&gt;"VF"),AND(AG73="VF",V73&lt;&gt;"INM")),"",
         IF(V73="INM",IF(AG73="VF",AF73*AB73,""),
            IF(V73="PE",4.6,
            IF(V73="AL",7,"")))),
   IF('Dados da OS'!$D$8=Parâmetros!$B$6,
      IF(V73="ALI",35,IF(V73="AIE",15,"")),""))
    )
)</f>
        <v/>
      </c>
      <c r="AJ73" s="82" t="str">
        <f t="shared" si="16"/>
        <v/>
      </c>
      <c r="AK73" s="84"/>
      <c r="AL73" s="85" t="s">
        <v>21</v>
      </c>
      <c r="AM73" s="86"/>
      <c r="AN73" s="85"/>
      <c r="AO73" s="87"/>
      <c r="AP73" s="85"/>
      <c r="AQ73" s="86"/>
      <c r="AR73" s="85"/>
    </row>
    <row r="74" spans="1:44" ht="15.75" customHeight="1">
      <c r="A74" s="54"/>
      <c r="B74" s="100"/>
      <c r="C74" s="55"/>
      <c r="D74" s="55"/>
      <c r="E74" s="56"/>
      <c r="F74" s="55"/>
      <c r="G74" s="56"/>
      <c r="H74" s="55"/>
      <c r="I74" s="64"/>
      <c r="J74" s="57" t="str">
        <f t="shared" si="11"/>
        <v/>
      </c>
      <c r="K74" s="57" t="str">
        <f t="shared" si="12"/>
        <v/>
      </c>
      <c r="L74" s="57" t="str">
        <f xml:space="preserve">
IF(OR('Dados da OS'!$D$8=Parâmetros!$B$3,'Dados da OS'!$D$8=Parâmetros!$B$4),
  IF(OR(ISBLANK(D74),ISBLANK(F74)),
     IF(OR(B74="ALI",B74="AIE"),"L",IF(ISBLANK(B74),"","A")),
     IF(B74="EE",IF(F74&gt;=3,IF(D74&gt;=5,"H","A"),
     IF(F74&gt;=2,IF(D74&gt;=16,"H",IF(D74&lt;=4,"L","A")),IF(D74&lt;=15,"L","A"))),
     IF(OR(B74="SE",B74="CE"),IF(F74&gt;=4,IF(D74&gt;=6,"H","A"),IF(F74&gt;=2,IF(D74&gt;=20,"H",IF(D74&lt;=5,"L","A")),IF(D74&lt;=19,"L","A"))),
     IF(OR(B74="ALI",B74="AIE"),IF(F74&gt;=6,IF(D74&gt;=20,"H","A"),IF(F74&gt;=2,IF(D74&gt;=51,"H",IF(D74&lt;=19,"L","A")),IF(D74&lt;=50,"L","A"))))))),
IF('Dados da OS'!$D$8=Parâmetros!$B$6,"Indicativa",
IF('Dados da OS'!$D$8=Parâmetros!$B$5,"PFS","")))</f>
        <v/>
      </c>
      <c r="M74" s="57">
        <f>IFERROR(VLOOKUP(C74,'Fatores de Impacto e INMs'!$A$3:$D$32,3,0),1)</f>
        <v>1</v>
      </c>
      <c r="N74" s="57">
        <f>IFERROR(VLOOKUP(C74,'Fatores de Impacto e INMs'!$A$3:$E$32,5,0),1)</f>
        <v>1</v>
      </c>
      <c r="O74" s="63" t="str">
        <f xml:space="preserve">
IF(OR('Dados da OS'!$D$8="Selecione o tipo da contagem",ISBLANK('Dados da OS'!$D$8),B74="INM",B74="N/A",ISBLANK(B74),ISBLANK(C74),N74="VF"),"-",
   IF('Dados da OS'!$D$8=Parâmetros!$B$3,
      IF(OR(ISBLANK(D74),ISBLANK(F74)),"-",
         IF(L74="L","Baixa",IF(L74="A","Média",IF(L74="H","Alta","-")))),
      IF('Dados da OS'!$D$8=Parâmetros!$B$4,
         IF(OR(B74="ALI",B74="AIE"),"Baixa",IF(OR(B74="EE",B74="SE",B74="CE"),"Média","-")),
         IF(OR('Dados da OS'!$D$8=Parâmetros!$B$5,'Dados da OS'!$D$8=Parâmetros!$B$6),"-"))))</f>
        <v>-</v>
      </c>
      <c r="P74" s="59" t="str">
        <f xml:space="preserve">
IF(OR(ISBLANK(B74),ISBLANK(C74),B74="N/A",ISBLANK('Dados da OS'!$D$8)),"",
   IF(OR('Dados da OS'!$D$8=Parâmetros!$B$3,'Dados da OS'!$D$8=Parâmetros!$B$4),
      IF(OR(AND(B74="INM",N74&lt;&gt;"VF"),AND(N74="VF",B74&lt;&gt;"INM")),"",
        IF(AND(B74="INM",N74="VF"),IF(ISBLANK(H74),"",M74*H74),
        IF('Dados da OS'!$D$8=Parâmetros!$B$4,
           IF(OR(B74="CE",B74="EE"),4,IF(B74="SE",5,IF(B74="ALI",7,IF(B74="AIE",5,"")))),
        IF('Dados da OS'!$D$8=Parâmetros!$B$3,
           IF(OR(ISBLANK(D74),ISBLANK(F74)),"",
              IF(B74="ALI",IF(L74="L",7,IF(L74="A",10,15)),
                 IF(B74="AIE",IF(L74="L",5,IF(L74="A",7,10)),
                    IF(B74="SE",IF(L74="L",4,IF(L74="A",5,7)),
                       IF(OR(B74="EE",B74="CE"),IF(L74="L",3,IF(L74="A",4,6)),""))))))))),
   IF('Dados da OS'!$D$8=Parâmetros!$B$5,
      IF(OR(AND(B74="INM",N74&lt;&gt;"VF"),AND(N74="VF",B74&lt;&gt;"INM")),"",
         IF(B74="INM",IF(N74="VF",M74*H74,""),
            IF(B74="PE",4.6,
            IF(B74="AL",7,"")))),
   IF('Dados da OS'!$D$8=Parâmetros!$B$6,
      IF(B74="ALI",35,IF(B74="AIE",15,"")),""))
    )
)</f>
        <v/>
      </c>
      <c r="Q74" s="60" t="str">
        <f t="shared" si="13"/>
        <v/>
      </c>
      <c r="R74" s="61"/>
      <c r="S74" s="62"/>
      <c r="T74" s="80" t="s">
        <v>21</v>
      </c>
      <c r="U74" s="81"/>
      <c r="V74" s="99"/>
      <c r="W74" s="55"/>
      <c r="X74" s="55"/>
      <c r="Y74" s="56"/>
      <c r="Z74" s="55"/>
      <c r="AA74" s="56"/>
      <c r="AB74" s="55"/>
      <c r="AC74" s="57" t="str">
        <f t="shared" si="14"/>
        <v/>
      </c>
      <c r="AD74" s="57" t="str">
        <f t="shared" si="15"/>
        <v/>
      </c>
      <c r="AE74" s="57" t="str">
        <f xml:space="preserve">
IF(OR('Dados da OS'!$D$8=Parâmetros!$B$3,'Dados da OS'!$D$8=Parâmetros!$B$4),
  IF(OR(ISBLANK(X74),ISBLANK(Z74)),
     IF(OR(V74="ALI",V74="AIE"),"L",IF(ISBLANK(V74),"","A")),
     IF(V74="EE",IF(Z74&gt;=3,IF(X74&gt;=5,"H","A"),
     IF(Z74&gt;=2,IF(X74&gt;=16,"H",IF(X74&lt;=4,"L","A")),IF(X74&lt;=15,"L","A"))),
     IF(OR(V74="SE",V74="CE"),IF(Z74&gt;=4,IF(X74&gt;=6,"H","A"),IF(Z74&gt;=2,IF(X74&gt;=20,"H",IF(X74&lt;=5,"L","A")),IF(X74&lt;=19,"L","A"))),
     IF(OR(V74="ALI",V74="AIE"),IF(Z74&gt;=6,IF(X74&gt;=20,"H","A"),IF(Z74&gt;=2,IF(X74&gt;=51,"H",IF(X74&lt;=19,"L","A")),IF(X74&lt;=50,"L","A"))))))),
IF('Dados da OS'!$D$8=Parâmetros!$B$6,"Indicativa",
IF('Dados da OS'!$D$8=Parâmetros!$B$5,"PFS","")))</f>
        <v/>
      </c>
      <c r="AF74" s="57">
        <f>IFERROR(VLOOKUP(W74,'Fatores de Impacto e INMs'!$A$3:$D$32,3,0),1)</f>
        <v>1</v>
      </c>
      <c r="AG74" s="57">
        <f>IFERROR(VLOOKUP(W74,'Fatores de Impacto e INMs'!$A$3:$E$32,5,0),1)</f>
        <v>1</v>
      </c>
      <c r="AH74" s="82" t="str">
        <f xml:space="preserve">
IF(OR('Dados da OS'!$D$8="Selecione o tipo da contagem",ISBLANK('Dados da OS'!$D$8),V74="INM",V74="N/A",ISBLANK(V74),ISBLANK(W74),AG74="VF"),"-",
   IF('Dados da OS'!$D$8=Parâmetros!$B$3,
      IF(OR(ISBLANK(X74),ISBLANK(Z74)),"-",
         IF(AE74="L","Baixa",IF(AE74="A","Média",IF(AE74="H","Alta","-")))),
      IF('Dados da OS'!$D$8=Parâmetros!$B$4,
         IF(OR(V74="ALI",V74="AIE"),"Baixa",IF(OR(V74="EE",V74="SE",V74="CE"),"Média","-")),
         IF(OR('Dados da OS'!$D$8=Parâmetros!$B$5,'Dados da OS'!$D$8=Parâmetros!$B$6),"-"))))</f>
        <v>-</v>
      </c>
      <c r="AI74" s="83" t="str">
        <f xml:space="preserve">
IF(OR(ISBLANK(V74),ISBLANK(U74),ISBLANK(W74),V74="N/A",ISBLANK('Dados da OS'!$D$8)),"",
   IF(OR('Dados da OS'!$D$8=Parâmetros!$B$3,'Dados da OS'!$D$8=Parâmetros!$B$4),
      IF(OR(AND(V74="INM",AG74&lt;&gt;"VF"),AND(AG74="VF",V74&lt;&gt;"INM")),"",
        IF(AND(V74="INM",AG74="VF"),IF(ISBLANK(AB74),"",AF74*AB74),
        IF('Dados da OS'!$D$8=Parâmetros!$B$4,
           IF(OR(V74="CE",V74="EE"),4,IF(V74="SE",5,IF(V74="ALI",7,IF(V74="AIE",5,"")))),
        IF('Dados da OS'!$D$8=Parâmetros!$B$3,
           IF(OR(ISBLANK(X74),ISBLANK(Z74)),"",
              IF(V74="ALI",IF(AE74="L",7,IF(AE74="A",10,15)),
                 IF(V74="AIE",IF(AE74="L",5,IF(AE74="A",7,10)),
                    IF(V74="SE",IF(AE74="L",4,IF(AE74="A",5,7)),
                       IF(OR(V74="EE",V74="CE"),IF(AE74="L",3,IF(AE74="A",4,6)),""))))))))),
   IF('Dados da OS'!$D$8=Parâmetros!$B$5,
      IF(OR(AND(V74="INM",AG74&lt;&gt;"VF"),AND(AG74="VF",V74&lt;&gt;"INM")),"",
         IF(V74="INM",IF(AG74="VF",AF74*AB74,""),
            IF(V74="PE",4.6,
            IF(V74="AL",7,"")))),
   IF('Dados da OS'!$D$8=Parâmetros!$B$6,
      IF(V74="ALI",35,IF(V74="AIE",15,"")),""))
    )
)</f>
        <v/>
      </c>
      <c r="AJ74" s="82" t="str">
        <f t="shared" si="16"/>
        <v/>
      </c>
      <c r="AK74" s="84"/>
      <c r="AL74" s="85" t="s">
        <v>21</v>
      </c>
      <c r="AM74" s="86"/>
      <c r="AN74" s="85"/>
      <c r="AO74" s="87"/>
      <c r="AP74" s="85"/>
      <c r="AQ74" s="86"/>
      <c r="AR74" s="85"/>
    </row>
    <row r="75" spans="1:44" ht="15.75" customHeight="1">
      <c r="A75" s="54"/>
      <c r="B75" s="100"/>
      <c r="C75" s="55"/>
      <c r="D75" s="55"/>
      <c r="E75" s="56"/>
      <c r="F75" s="55"/>
      <c r="G75" s="56"/>
      <c r="H75" s="55"/>
      <c r="I75" s="64"/>
      <c r="J75" s="57" t="str">
        <f t="shared" si="11"/>
        <v/>
      </c>
      <c r="K75" s="57" t="str">
        <f t="shared" si="12"/>
        <v/>
      </c>
      <c r="L75" s="57" t="str">
        <f xml:space="preserve">
IF(OR('Dados da OS'!$D$8=Parâmetros!$B$3,'Dados da OS'!$D$8=Parâmetros!$B$4),
  IF(OR(ISBLANK(D75),ISBLANK(F75)),
     IF(OR(B75="ALI",B75="AIE"),"L",IF(ISBLANK(B75),"","A")),
     IF(B75="EE",IF(F75&gt;=3,IF(D75&gt;=5,"H","A"),
     IF(F75&gt;=2,IF(D75&gt;=16,"H",IF(D75&lt;=4,"L","A")),IF(D75&lt;=15,"L","A"))),
     IF(OR(B75="SE",B75="CE"),IF(F75&gt;=4,IF(D75&gt;=6,"H","A"),IF(F75&gt;=2,IF(D75&gt;=20,"H",IF(D75&lt;=5,"L","A")),IF(D75&lt;=19,"L","A"))),
     IF(OR(B75="ALI",B75="AIE"),IF(F75&gt;=6,IF(D75&gt;=20,"H","A"),IF(F75&gt;=2,IF(D75&gt;=51,"H",IF(D75&lt;=19,"L","A")),IF(D75&lt;=50,"L","A"))))))),
IF('Dados da OS'!$D$8=Parâmetros!$B$6,"Indicativa",
IF('Dados da OS'!$D$8=Parâmetros!$B$5,"PFS","")))</f>
        <v/>
      </c>
      <c r="M75" s="57">
        <f>IFERROR(VLOOKUP(C75,'Fatores de Impacto e INMs'!$A$3:$D$32,3,0),1)</f>
        <v>1</v>
      </c>
      <c r="N75" s="57">
        <f>IFERROR(VLOOKUP(C75,'Fatores de Impacto e INMs'!$A$3:$E$32,5,0),1)</f>
        <v>1</v>
      </c>
      <c r="O75" s="63" t="str">
        <f xml:space="preserve">
IF(OR('Dados da OS'!$D$8="Selecione o tipo da contagem",ISBLANK('Dados da OS'!$D$8),B75="INM",B75="N/A",ISBLANK(B75),ISBLANK(C75),N75="VF"),"-",
   IF('Dados da OS'!$D$8=Parâmetros!$B$3,
      IF(OR(ISBLANK(D75),ISBLANK(F75)),"-",
         IF(L75="L","Baixa",IF(L75="A","Média",IF(L75="H","Alta","-")))),
      IF('Dados da OS'!$D$8=Parâmetros!$B$4,
         IF(OR(B75="ALI",B75="AIE"),"Baixa",IF(OR(B75="EE",B75="SE",B75="CE"),"Média","-")),
         IF(OR('Dados da OS'!$D$8=Parâmetros!$B$5,'Dados da OS'!$D$8=Parâmetros!$B$6),"-"))))</f>
        <v>-</v>
      </c>
      <c r="P75" s="59" t="str">
        <f xml:space="preserve">
IF(OR(ISBLANK(B75),ISBLANK(C75),B75="N/A",ISBLANK('Dados da OS'!$D$8)),"",
   IF(OR('Dados da OS'!$D$8=Parâmetros!$B$3,'Dados da OS'!$D$8=Parâmetros!$B$4),
      IF(OR(AND(B75="INM",N75&lt;&gt;"VF"),AND(N75="VF",B75&lt;&gt;"INM")),"",
        IF(AND(B75="INM",N75="VF"),IF(ISBLANK(H75),"",M75*H75),
        IF('Dados da OS'!$D$8=Parâmetros!$B$4,
           IF(OR(B75="CE",B75="EE"),4,IF(B75="SE",5,IF(B75="ALI",7,IF(B75="AIE",5,"")))),
        IF('Dados da OS'!$D$8=Parâmetros!$B$3,
           IF(OR(ISBLANK(D75),ISBLANK(F75)),"",
              IF(B75="ALI",IF(L75="L",7,IF(L75="A",10,15)),
                 IF(B75="AIE",IF(L75="L",5,IF(L75="A",7,10)),
                    IF(B75="SE",IF(L75="L",4,IF(L75="A",5,7)),
                       IF(OR(B75="EE",B75="CE"),IF(L75="L",3,IF(L75="A",4,6)),""))))))))),
   IF('Dados da OS'!$D$8=Parâmetros!$B$5,
      IF(OR(AND(B75="INM",N75&lt;&gt;"VF"),AND(N75="VF",B75&lt;&gt;"INM")),"",
         IF(B75="INM",IF(N75="VF",M75*H75,""),
            IF(B75="PE",4.6,
            IF(B75="AL",7,"")))),
   IF('Dados da OS'!$D$8=Parâmetros!$B$6,
      IF(B75="ALI",35,IF(B75="AIE",15,"")),""))
    )
)</f>
        <v/>
      </c>
      <c r="Q75" s="60" t="str">
        <f t="shared" si="13"/>
        <v/>
      </c>
      <c r="R75" s="61"/>
      <c r="S75" s="62"/>
      <c r="T75" s="80" t="s">
        <v>21</v>
      </c>
      <c r="U75" s="81"/>
      <c r="V75" s="99"/>
      <c r="W75" s="55"/>
      <c r="X75" s="55"/>
      <c r="Y75" s="56"/>
      <c r="Z75" s="55"/>
      <c r="AA75" s="56"/>
      <c r="AB75" s="55"/>
      <c r="AC75" s="57" t="str">
        <f t="shared" si="14"/>
        <v/>
      </c>
      <c r="AD75" s="57" t="str">
        <f t="shared" si="15"/>
        <v/>
      </c>
      <c r="AE75" s="57" t="str">
        <f xml:space="preserve">
IF(OR('Dados da OS'!$D$8=Parâmetros!$B$3,'Dados da OS'!$D$8=Parâmetros!$B$4),
  IF(OR(ISBLANK(X75),ISBLANK(Z75)),
     IF(OR(V75="ALI",V75="AIE"),"L",IF(ISBLANK(V75),"","A")),
     IF(V75="EE",IF(Z75&gt;=3,IF(X75&gt;=5,"H","A"),
     IF(Z75&gt;=2,IF(X75&gt;=16,"H",IF(X75&lt;=4,"L","A")),IF(X75&lt;=15,"L","A"))),
     IF(OR(V75="SE",V75="CE"),IF(Z75&gt;=4,IF(X75&gt;=6,"H","A"),IF(Z75&gt;=2,IF(X75&gt;=20,"H",IF(X75&lt;=5,"L","A")),IF(X75&lt;=19,"L","A"))),
     IF(OR(V75="ALI",V75="AIE"),IF(Z75&gt;=6,IF(X75&gt;=20,"H","A"),IF(Z75&gt;=2,IF(X75&gt;=51,"H",IF(X75&lt;=19,"L","A")),IF(X75&lt;=50,"L","A"))))))),
IF('Dados da OS'!$D$8=Parâmetros!$B$6,"Indicativa",
IF('Dados da OS'!$D$8=Parâmetros!$B$5,"PFS","")))</f>
        <v/>
      </c>
      <c r="AF75" s="57">
        <f>IFERROR(VLOOKUP(W75,'Fatores de Impacto e INMs'!$A$3:$D$32,3,0),1)</f>
        <v>1</v>
      </c>
      <c r="AG75" s="57">
        <f>IFERROR(VLOOKUP(W75,'Fatores de Impacto e INMs'!$A$3:$E$32,5,0),1)</f>
        <v>1</v>
      </c>
      <c r="AH75" s="82" t="str">
        <f xml:space="preserve">
IF(OR('Dados da OS'!$D$8="Selecione o tipo da contagem",ISBLANK('Dados da OS'!$D$8),V75="INM",V75="N/A",ISBLANK(V75),ISBLANK(W75),AG75="VF"),"-",
   IF('Dados da OS'!$D$8=Parâmetros!$B$3,
      IF(OR(ISBLANK(X75),ISBLANK(Z75)),"-",
         IF(AE75="L","Baixa",IF(AE75="A","Média",IF(AE75="H","Alta","-")))),
      IF('Dados da OS'!$D$8=Parâmetros!$B$4,
         IF(OR(V75="ALI",V75="AIE"),"Baixa",IF(OR(V75="EE",V75="SE",V75="CE"),"Média","-")),
         IF(OR('Dados da OS'!$D$8=Parâmetros!$B$5,'Dados da OS'!$D$8=Parâmetros!$B$6),"-"))))</f>
        <v>-</v>
      </c>
      <c r="AI75" s="83" t="str">
        <f xml:space="preserve">
IF(OR(ISBLANK(V75),ISBLANK(U75),ISBLANK(W75),V75="N/A",ISBLANK('Dados da OS'!$D$8)),"",
   IF(OR('Dados da OS'!$D$8=Parâmetros!$B$3,'Dados da OS'!$D$8=Parâmetros!$B$4),
      IF(OR(AND(V75="INM",AG75&lt;&gt;"VF"),AND(AG75="VF",V75&lt;&gt;"INM")),"",
        IF(AND(V75="INM",AG75="VF"),IF(ISBLANK(AB75),"",AF75*AB75),
        IF('Dados da OS'!$D$8=Parâmetros!$B$4,
           IF(OR(V75="CE",V75="EE"),4,IF(V75="SE",5,IF(V75="ALI",7,IF(V75="AIE",5,"")))),
        IF('Dados da OS'!$D$8=Parâmetros!$B$3,
           IF(OR(ISBLANK(X75),ISBLANK(Z75)),"",
              IF(V75="ALI",IF(AE75="L",7,IF(AE75="A",10,15)),
                 IF(V75="AIE",IF(AE75="L",5,IF(AE75="A",7,10)),
                    IF(V75="SE",IF(AE75="L",4,IF(AE75="A",5,7)),
                       IF(OR(V75="EE",V75="CE"),IF(AE75="L",3,IF(AE75="A",4,6)),""))))))))),
   IF('Dados da OS'!$D$8=Parâmetros!$B$5,
      IF(OR(AND(V75="INM",AG75&lt;&gt;"VF"),AND(AG75="VF",V75&lt;&gt;"INM")),"",
         IF(V75="INM",IF(AG75="VF",AF75*AB75,""),
            IF(V75="PE",4.6,
            IF(V75="AL",7,"")))),
   IF('Dados da OS'!$D$8=Parâmetros!$B$6,
      IF(V75="ALI",35,IF(V75="AIE",15,"")),""))
    )
)</f>
        <v/>
      </c>
      <c r="AJ75" s="82" t="str">
        <f t="shared" si="16"/>
        <v/>
      </c>
      <c r="AK75" s="84"/>
      <c r="AL75" s="85" t="s">
        <v>21</v>
      </c>
      <c r="AM75" s="86"/>
      <c r="AN75" s="85"/>
      <c r="AO75" s="87"/>
      <c r="AP75" s="85"/>
      <c r="AQ75" s="86"/>
      <c r="AR75" s="85"/>
    </row>
    <row r="76" spans="1:44" ht="15.75" customHeight="1">
      <c r="A76" s="54"/>
      <c r="B76" s="100"/>
      <c r="C76" s="55"/>
      <c r="D76" s="55"/>
      <c r="E76" s="56"/>
      <c r="F76" s="55"/>
      <c r="G76" s="56"/>
      <c r="H76" s="55"/>
      <c r="I76" s="64"/>
      <c r="J76" s="57" t="str">
        <f t="shared" si="11"/>
        <v/>
      </c>
      <c r="K76" s="57" t="str">
        <f t="shared" si="12"/>
        <v/>
      </c>
      <c r="L76" s="57" t="str">
        <f xml:space="preserve">
IF(OR('Dados da OS'!$D$8=Parâmetros!$B$3,'Dados da OS'!$D$8=Parâmetros!$B$4),
  IF(OR(ISBLANK(D76),ISBLANK(F76)),
     IF(OR(B76="ALI",B76="AIE"),"L",IF(ISBLANK(B76),"","A")),
     IF(B76="EE",IF(F76&gt;=3,IF(D76&gt;=5,"H","A"),
     IF(F76&gt;=2,IF(D76&gt;=16,"H",IF(D76&lt;=4,"L","A")),IF(D76&lt;=15,"L","A"))),
     IF(OR(B76="SE",B76="CE"),IF(F76&gt;=4,IF(D76&gt;=6,"H","A"),IF(F76&gt;=2,IF(D76&gt;=20,"H",IF(D76&lt;=5,"L","A")),IF(D76&lt;=19,"L","A"))),
     IF(OR(B76="ALI",B76="AIE"),IF(F76&gt;=6,IF(D76&gt;=20,"H","A"),IF(F76&gt;=2,IF(D76&gt;=51,"H",IF(D76&lt;=19,"L","A")),IF(D76&lt;=50,"L","A"))))))),
IF('Dados da OS'!$D$8=Parâmetros!$B$6,"Indicativa",
IF('Dados da OS'!$D$8=Parâmetros!$B$5,"PFS","")))</f>
        <v/>
      </c>
      <c r="M76" s="57">
        <f>IFERROR(VLOOKUP(C76,'Fatores de Impacto e INMs'!$A$3:$D$32,3,0),1)</f>
        <v>1</v>
      </c>
      <c r="N76" s="57">
        <f>IFERROR(VLOOKUP(C76,'Fatores de Impacto e INMs'!$A$3:$E$32,5,0),1)</f>
        <v>1</v>
      </c>
      <c r="O76" s="63" t="str">
        <f xml:space="preserve">
IF(OR('Dados da OS'!$D$8="Selecione o tipo da contagem",ISBLANK('Dados da OS'!$D$8),B76="INM",B76="N/A",ISBLANK(B76),ISBLANK(C76),N76="VF"),"-",
   IF('Dados da OS'!$D$8=Parâmetros!$B$3,
      IF(OR(ISBLANK(D76),ISBLANK(F76)),"-",
         IF(L76="L","Baixa",IF(L76="A","Média",IF(L76="H","Alta","-")))),
      IF('Dados da OS'!$D$8=Parâmetros!$B$4,
         IF(OR(B76="ALI",B76="AIE"),"Baixa",IF(OR(B76="EE",B76="SE",B76="CE"),"Média","-")),
         IF(OR('Dados da OS'!$D$8=Parâmetros!$B$5,'Dados da OS'!$D$8=Parâmetros!$B$6),"-"))))</f>
        <v>-</v>
      </c>
      <c r="P76" s="59" t="str">
        <f xml:space="preserve">
IF(OR(ISBLANK(B76),ISBLANK(C76),B76="N/A",ISBLANK('Dados da OS'!$D$8)),"",
   IF(OR('Dados da OS'!$D$8=Parâmetros!$B$3,'Dados da OS'!$D$8=Parâmetros!$B$4),
      IF(OR(AND(B76="INM",N76&lt;&gt;"VF"),AND(N76="VF",B76&lt;&gt;"INM")),"",
        IF(AND(B76="INM",N76="VF"),IF(ISBLANK(H76),"",M76*H76),
        IF('Dados da OS'!$D$8=Parâmetros!$B$4,
           IF(OR(B76="CE",B76="EE"),4,IF(B76="SE",5,IF(B76="ALI",7,IF(B76="AIE",5,"")))),
        IF('Dados da OS'!$D$8=Parâmetros!$B$3,
           IF(OR(ISBLANK(D76),ISBLANK(F76)),"",
              IF(B76="ALI",IF(L76="L",7,IF(L76="A",10,15)),
                 IF(B76="AIE",IF(L76="L",5,IF(L76="A",7,10)),
                    IF(B76="SE",IF(L76="L",4,IF(L76="A",5,7)),
                       IF(OR(B76="EE",B76="CE"),IF(L76="L",3,IF(L76="A",4,6)),""))))))))),
   IF('Dados da OS'!$D$8=Parâmetros!$B$5,
      IF(OR(AND(B76="INM",N76&lt;&gt;"VF"),AND(N76="VF",B76&lt;&gt;"INM")),"",
         IF(B76="INM",IF(N76="VF",M76*H76,""),
            IF(B76="PE",4.6,
            IF(B76="AL",7,"")))),
   IF('Dados da OS'!$D$8=Parâmetros!$B$6,
      IF(B76="ALI",35,IF(B76="AIE",15,"")),""))
    )
)</f>
        <v/>
      </c>
      <c r="Q76" s="60" t="str">
        <f t="shared" si="13"/>
        <v/>
      </c>
      <c r="R76" s="61"/>
      <c r="S76" s="62"/>
      <c r="T76" s="80" t="s">
        <v>21</v>
      </c>
      <c r="U76" s="81"/>
      <c r="V76" s="99"/>
      <c r="W76" s="55"/>
      <c r="X76" s="55"/>
      <c r="Y76" s="56"/>
      <c r="Z76" s="55"/>
      <c r="AA76" s="56"/>
      <c r="AB76" s="55"/>
      <c r="AC76" s="57" t="str">
        <f t="shared" si="14"/>
        <v/>
      </c>
      <c r="AD76" s="57" t="str">
        <f t="shared" si="15"/>
        <v/>
      </c>
      <c r="AE76" s="57" t="str">
        <f xml:space="preserve">
IF(OR('Dados da OS'!$D$8=Parâmetros!$B$3,'Dados da OS'!$D$8=Parâmetros!$B$4),
  IF(OR(ISBLANK(X76),ISBLANK(Z76)),
     IF(OR(V76="ALI",V76="AIE"),"L",IF(ISBLANK(V76),"","A")),
     IF(V76="EE",IF(Z76&gt;=3,IF(X76&gt;=5,"H","A"),
     IF(Z76&gt;=2,IF(X76&gt;=16,"H",IF(X76&lt;=4,"L","A")),IF(X76&lt;=15,"L","A"))),
     IF(OR(V76="SE",V76="CE"),IF(Z76&gt;=4,IF(X76&gt;=6,"H","A"),IF(Z76&gt;=2,IF(X76&gt;=20,"H",IF(X76&lt;=5,"L","A")),IF(X76&lt;=19,"L","A"))),
     IF(OR(V76="ALI",V76="AIE"),IF(Z76&gt;=6,IF(X76&gt;=20,"H","A"),IF(Z76&gt;=2,IF(X76&gt;=51,"H",IF(X76&lt;=19,"L","A")),IF(X76&lt;=50,"L","A"))))))),
IF('Dados da OS'!$D$8=Parâmetros!$B$6,"Indicativa",
IF('Dados da OS'!$D$8=Parâmetros!$B$5,"PFS","")))</f>
        <v/>
      </c>
      <c r="AF76" s="57">
        <f>IFERROR(VLOOKUP(W76,'Fatores de Impacto e INMs'!$A$3:$D$32,3,0),1)</f>
        <v>1</v>
      </c>
      <c r="AG76" s="57">
        <f>IFERROR(VLOOKUP(W76,'Fatores de Impacto e INMs'!$A$3:$E$32,5,0),1)</f>
        <v>1</v>
      </c>
      <c r="AH76" s="82" t="str">
        <f xml:space="preserve">
IF(OR('Dados da OS'!$D$8="Selecione o tipo da contagem",ISBLANK('Dados da OS'!$D$8),V76="INM",V76="N/A",ISBLANK(V76),ISBLANK(W76),AG76="VF"),"-",
   IF('Dados da OS'!$D$8=Parâmetros!$B$3,
      IF(OR(ISBLANK(X76),ISBLANK(Z76)),"-",
         IF(AE76="L","Baixa",IF(AE76="A","Média",IF(AE76="H","Alta","-")))),
      IF('Dados da OS'!$D$8=Parâmetros!$B$4,
         IF(OR(V76="ALI",V76="AIE"),"Baixa",IF(OR(V76="EE",V76="SE",V76="CE"),"Média","-")),
         IF(OR('Dados da OS'!$D$8=Parâmetros!$B$5,'Dados da OS'!$D$8=Parâmetros!$B$6),"-"))))</f>
        <v>-</v>
      </c>
      <c r="AI76" s="83" t="str">
        <f xml:space="preserve">
IF(OR(ISBLANK(V76),ISBLANK(U76),ISBLANK(W76),V76="N/A",ISBLANK('Dados da OS'!$D$8)),"",
   IF(OR('Dados da OS'!$D$8=Parâmetros!$B$3,'Dados da OS'!$D$8=Parâmetros!$B$4),
      IF(OR(AND(V76="INM",AG76&lt;&gt;"VF"),AND(AG76="VF",V76&lt;&gt;"INM")),"",
        IF(AND(V76="INM",AG76="VF"),IF(ISBLANK(AB76),"",AF76*AB76),
        IF('Dados da OS'!$D$8=Parâmetros!$B$4,
           IF(OR(V76="CE",V76="EE"),4,IF(V76="SE",5,IF(V76="ALI",7,IF(V76="AIE",5,"")))),
        IF('Dados da OS'!$D$8=Parâmetros!$B$3,
           IF(OR(ISBLANK(X76),ISBLANK(Z76)),"",
              IF(V76="ALI",IF(AE76="L",7,IF(AE76="A",10,15)),
                 IF(V76="AIE",IF(AE76="L",5,IF(AE76="A",7,10)),
                    IF(V76="SE",IF(AE76="L",4,IF(AE76="A",5,7)),
                       IF(OR(V76="EE",V76="CE"),IF(AE76="L",3,IF(AE76="A",4,6)),""))))))))),
   IF('Dados da OS'!$D$8=Parâmetros!$B$5,
      IF(OR(AND(V76="INM",AG76&lt;&gt;"VF"),AND(AG76="VF",V76&lt;&gt;"INM")),"",
         IF(V76="INM",IF(AG76="VF",AF76*AB76,""),
            IF(V76="PE",4.6,
            IF(V76="AL",7,"")))),
   IF('Dados da OS'!$D$8=Parâmetros!$B$6,
      IF(V76="ALI",35,IF(V76="AIE",15,"")),""))
    )
)</f>
        <v/>
      </c>
      <c r="AJ76" s="82" t="str">
        <f t="shared" si="16"/>
        <v/>
      </c>
      <c r="AK76" s="84"/>
      <c r="AL76" s="85" t="s">
        <v>21</v>
      </c>
      <c r="AM76" s="86"/>
      <c r="AN76" s="85"/>
      <c r="AO76" s="87"/>
      <c r="AP76" s="85"/>
      <c r="AQ76" s="86"/>
      <c r="AR76" s="85"/>
    </row>
    <row r="77" spans="1:44" ht="15.75" customHeight="1">
      <c r="A77" s="54"/>
      <c r="B77" s="100"/>
      <c r="C77" s="55"/>
      <c r="D77" s="55"/>
      <c r="E77" s="56"/>
      <c r="F77" s="55"/>
      <c r="G77" s="56"/>
      <c r="H77" s="55"/>
      <c r="I77" s="64"/>
      <c r="J77" s="57" t="str">
        <f t="shared" si="11"/>
        <v/>
      </c>
      <c r="K77" s="57" t="str">
        <f t="shared" si="12"/>
        <v/>
      </c>
      <c r="L77" s="57" t="str">
        <f xml:space="preserve">
IF(OR('Dados da OS'!$D$8=Parâmetros!$B$3,'Dados da OS'!$D$8=Parâmetros!$B$4),
  IF(OR(ISBLANK(D77),ISBLANK(F77)),
     IF(OR(B77="ALI",B77="AIE"),"L",IF(ISBLANK(B77),"","A")),
     IF(B77="EE",IF(F77&gt;=3,IF(D77&gt;=5,"H","A"),
     IF(F77&gt;=2,IF(D77&gt;=16,"H",IF(D77&lt;=4,"L","A")),IF(D77&lt;=15,"L","A"))),
     IF(OR(B77="SE",B77="CE"),IF(F77&gt;=4,IF(D77&gt;=6,"H","A"),IF(F77&gt;=2,IF(D77&gt;=20,"H",IF(D77&lt;=5,"L","A")),IF(D77&lt;=19,"L","A"))),
     IF(OR(B77="ALI",B77="AIE"),IF(F77&gt;=6,IF(D77&gt;=20,"H","A"),IF(F77&gt;=2,IF(D77&gt;=51,"H",IF(D77&lt;=19,"L","A")),IF(D77&lt;=50,"L","A"))))))),
IF('Dados da OS'!$D$8=Parâmetros!$B$6,"Indicativa",
IF('Dados da OS'!$D$8=Parâmetros!$B$5,"PFS","")))</f>
        <v/>
      </c>
      <c r="M77" s="57">
        <f>IFERROR(VLOOKUP(C77,'Fatores de Impacto e INMs'!$A$3:$D$32,3,0),1)</f>
        <v>1</v>
      </c>
      <c r="N77" s="57">
        <f>IFERROR(VLOOKUP(C77,'Fatores de Impacto e INMs'!$A$3:$E$32,5,0),1)</f>
        <v>1</v>
      </c>
      <c r="O77" s="63" t="str">
        <f xml:space="preserve">
IF(OR('Dados da OS'!$D$8="Selecione o tipo da contagem",ISBLANK('Dados da OS'!$D$8),B77="INM",B77="N/A",ISBLANK(B77),ISBLANK(C77),N77="VF"),"-",
   IF('Dados da OS'!$D$8=Parâmetros!$B$3,
      IF(OR(ISBLANK(D77),ISBLANK(F77)),"-",
         IF(L77="L","Baixa",IF(L77="A","Média",IF(L77="H","Alta","-")))),
      IF('Dados da OS'!$D$8=Parâmetros!$B$4,
         IF(OR(B77="ALI",B77="AIE"),"Baixa",IF(OR(B77="EE",B77="SE",B77="CE"),"Média","-")),
         IF(OR('Dados da OS'!$D$8=Parâmetros!$B$5,'Dados da OS'!$D$8=Parâmetros!$B$6),"-"))))</f>
        <v>-</v>
      </c>
      <c r="P77" s="59" t="str">
        <f xml:space="preserve">
IF(OR(ISBLANK(B77),ISBLANK(C77),B77="N/A",ISBLANK('Dados da OS'!$D$8)),"",
   IF(OR('Dados da OS'!$D$8=Parâmetros!$B$3,'Dados da OS'!$D$8=Parâmetros!$B$4),
      IF(OR(AND(B77="INM",N77&lt;&gt;"VF"),AND(N77="VF",B77&lt;&gt;"INM")),"",
        IF(AND(B77="INM",N77="VF"),IF(ISBLANK(H77),"",M77*H77),
        IF('Dados da OS'!$D$8=Parâmetros!$B$4,
           IF(OR(B77="CE",B77="EE"),4,IF(B77="SE",5,IF(B77="ALI",7,IF(B77="AIE",5,"")))),
        IF('Dados da OS'!$D$8=Parâmetros!$B$3,
           IF(OR(ISBLANK(D77),ISBLANK(F77)),"",
              IF(B77="ALI",IF(L77="L",7,IF(L77="A",10,15)),
                 IF(B77="AIE",IF(L77="L",5,IF(L77="A",7,10)),
                    IF(B77="SE",IF(L77="L",4,IF(L77="A",5,7)),
                       IF(OR(B77="EE",B77="CE"),IF(L77="L",3,IF(L77="A",4,6)),""))))))))),
   IF('Dados da OS'!$D$8=Parâmetros!$B$5,
      IF(OR(AND(B77="INM",N77&lt;&gt;"VF"),AND(N77="VF",B77&lt;&gt;"INM")),"",
         IF(B77="INM",IF(N77="VF",M77*H77,""),
            IF(B77="PE",4.6,
            IF(B77="AL",7,"")))),
   IF('Dados da OS'!$D$8=Parâmetros!$B$6,
      IF(B77="ALI",35,IF(B77="AIE",15,"")),""))
    )
)</f>
        <v/>
      </c>
      <c r="Q77" s="60" t="str">
        <f t="shared" si="13"/>
        <v/>
      </c>
      <c r="R77" s="61"/>
      <c r="S77" s="62"/>
      <c r="T77" s="80" t="s">
        <v>21</v>
      </c>
      <c r="U77" s="81"/>
      <c r="V77" s="99"/>
      <c r="W77" s="55"/>
      <c r="X77" s="55"/>
      <c r="Y77" s="56"/>
      <c r="Z77" s="55"/>
      <c r="AA77" s="56"/>
      <c r="AB77" s="55"/>
      <c r="AC77" s="57" t="str">
        <f t="shared" si="14"/>
        <v/>
      </c>
      <c r="AD77" s="57" t="str">
        <f t="shared" si="15"/>
        <v/>
      </c>
      <c r="AE77" s="57" t="str">
        <f xml:space="preserve">
IF(OR('Dados da OS'!$D$8=Parâmetros!$B$3,'Dados da OS'!$D$8=Parâmetros!$B$4),
  IF(OR(ISBLANK(X77),ISBLANK(Z77)),
     IF(OR(V77="ALI",V77="AIE"),"L",IF(ISBLANK(V77),"","A")),
     IF(V77="EE",IF(Z77&gt;=3,IF(X77&gt;=5,"H","A"),
     IF(Z77&gt;=2,IF(X77&gt;=16,"H",IF(X77&lt;=4,"L","A")),IF(X77&lt;=15,"L","A"))),
     IF(OR(V77="SE",V77="CE"),IF(Z77&gt;=4,IF(X77&gt;=6,"H","A"),IF(Z77&gt;=2,IF(X77&gt;=20,"H",IF(X77&lt;=5,"L","A")),IF(X77&lt;=19,"L","A"))),
     IF(OR(V77="ALI",V77="AIE"),IF(Z77&gt;=6,IF(X77&gt;=20,"H","A"),IF(Z77&gt;=2,IF(X77&gt;=51,"H",IF(X77&lt;=19,"L","A")),IF(X77&lt;=50,"L","A"))))))),
IF('Dados da OS'!$D$8=Parâmetros!$B$6,"Indicativa",
IF('Dados da OS'!$D$8=Parâmetros!$B$5,"PFS","")))</f>
        <v/>
      </c>
      <c r="AF77" s="57">
        <f>IFERROR(VLOOKUP(W77,'Fatores de Impacto e INMs'!$A$3:$D$32,3,0),1)</f>
        <v>1</v>
      </c>
      <c r="AG77" s="57">
        <f>IFERROR(VLOOKUP(W77,'Fatores de Impacto e INMs'!$A$3:$E$32,5,0),1)</f>
        <v>1</v>
      </c>
      <c r="AH77" s="82" t="str">
        <f xml:space="preserve">
IF(OR('Dados da OS'!$D$8="Selecione o tipo da contagem",ISBLANK('Dados da OS'!$D$8),V77="INM",V77="N/A",ISBLANK(V77),ISBLANK(W77),AG77="VF"),"-",
   IF('Dados da OS'!$D$8=Parâmetros!$B$3,
      IF(OR(ISBLANK(X77),ISBLANK(Z77)),"-",
         IF(AE77="L","Baixa",IF(AE77="A","Média",IF(AE77="H","Alta","-")))),
      IF('Dados da OS'!$D$8=Parâmetros!$B$4,
         IF(OR(V77="ALI",V77="AIE"),"Baixa",IF(OR(V77="EE",V77="SE",V77="CE"),"Média","-")),
         IF(OR('Dados da OS'!$D$8=Parâmetros!$B$5,'Dados da OS'!$D$8=Parâmetros!$B$6),"-"))))</f>
        <v>-</v>
      </c>
      <c r="AI77" s="83" t="str">
        <f xml:space="preserve">
IF(OR(ISBLANK(V77),ISBLANK(U77),ISBLANK(W77),V77="N/A",ISBLANK('Dados da OS'!$D$8)),"",
   IF(OR('Dados da OS'!$D$8=Parâmetros!$B$3,'Dados da OS'!$D$8=Parâmetros!$B$4),
      IF(OR(AND(V77="INM",AG77&lt;&gt;"VF"),AND(AG77="VF",V77&lt;&gt;"INM")),"",
        IF(AND(V77="INM",AG77="VF"),IF(ISBLANK(AB77),"",AF77*AB77),
        IF('Dados da OS'!$D$8=Parâmetros!$B$4,
           IF(OR(V77="CE",V77="EE"),4,IF(V77="SE",5,IF(V77="ALI",7,IF(V77="AIE",5,"")))),
        IF('Dados da OS'!$D$8=Parâmetros!$B$3,
           IF(OR(ISBLANK(X77),ISBLANK(Z77)),"",
              IF(V77="ALI",IF(AE77="L",7,IF(AE77="A",10,15)),
                 IF(V77="AIE",IF(AE77="L",5,IF(AE77="A",7,10)),
                    IF(V77="SE",IF(AE77="L",4,IF(AE77="A",5,7)),
                       IF(OR(V77="EE",V77="CE"),IF(AE77="L",3,IF(AE77="A",4,6)),""))))))))),
   IF('Dados da OS'!$D$8=Parâmetros!$B$5,
      IF(OR(AND(V77="INM",AG77&lt;&gt;"VF"),AND(AG77="VF",V77&lt;&gt;"INM")),"",
         IF(V77="INM",IF(AG77="VF",AF77*AB77,""),
            IF(V77="PE",4.6,
            IF(V77="AL",7,"")))),
   IF('Dados da OS'!$D$8=Parâmetros!$B$6,
      IF(V77="ALI",35,IF(V77="AIE",15,"")),""))
    )
)</f>
        <v/>
      </c>
      <c r="AJ77" s="82" t="str">
        <f t="shared" si="16"/>
        <v/>
      </c>
      <c r="AK77" s="84"/>
      <c r="AL77" s="85" t="s">
        <v>21</v>
      </c>
      <c r="AM77" s="86"/>
      <c r="AN77" s="85"/>
      <c r="AO77" s="87"/>
      <c r="AP77" s="85"/>
      <c r="AQ77" s="86"/>
      <c r="AR77" s="85"/>
    </row>
    <row r="78" spans="1:44" ht="15.75" customHeight="1">
      <c r="A78" s="54"/>
      <c r="B78" s="100"/>
      <c r="C78" s="55"/>
      <c r="D78" s="55"/>
      <c r="E78" s="56"/>
      <c r="F78" s="55"/>
      <c r="G78" s="56"/>
      <c r="H78" s="55"/>
      <c r="I78" s="64"/>
      <c r="J78" s="57" t="str">
        <f t="shared" si="11"/>
        <v/>
      </c>
      <c r="K78" s="57" t="str">
        <f t="shared" si="12"/>
        <v/>
      </c>
      <c r="L78" s="57" t="str">
        <f xml:space="preserve">
IF(OR('Dados da OS'!$D$8=Parâmetros!$B$3,'Dados da OS'!$D$8=Parâmetros!$B$4),
  IF(OR(ISBLANK(D78),ISBLANK(F78)),
     IF(OR(B78="ALI",B78="AIE"),"L",IF(ISBLANK(B78),"","A")),
     IF(B78="EE",IF(F78&gt;=3,IF(D78&gt;=5,"H","A"),
     IF(F78&gt;=2,IF(D78&gt;=16,"H",IF(D78&lt;=4,"L","A")),IF(D78&lt;=15,"L","A"))),
     IF(OR(B78="SE",B78="CE"),IF(F78&gt;=4,IF(D78&gt;=6,"H","A"),IF(F78&gt;=2,IF(D78&gt;=20,"H",IF(D78&lt;=5,"L","A")),IF(D78&lt;=19,"L","A"))),
     IF(OR(B78="ALI",B78="AIE"),IF(F78&gt;=6,IF(D78&gt;=20,"H","A"),IF(F78&gt;=2,IF(D78&gt;=51,"H",IF(D78&lt;=19,"L","A")),IF(D78&lt;=50,"L","A"))))))),
IF('Dados da OS'!$D$8=Parâmetros!$B$6,"Indicativa",
IF('Dados da OS'!$D$8=Parâmetros!$B$5,"PFS","")))</f>
        <v/>
      </c>
      <c r="M78" s="57">
        <f>IFERROR(VLOOKUP(C78,'Fatores de Impacto e INMs'!$A$3:$D$32,3,0),1)</f>
        <v>1</v>
      </c>
      <c r="N78" s="57">
        <f>IFERROR(VLOOKUP(C78,'Fatores de Impacto e INMs'!$A$3:$E$32,5,0),1)</f>
        <v>1</v>
      </c>
      <c r="O78" s="63" t="str">
        <f xml:space="preserve">
IF(OR('Dados da OS'!$D$8="Selecione o tipo da contagem",ISBLANK('Dados da OS'!$D$8),B78="INM",B78="N/A",ISBLANK(B78),ISBLANK(C78),N78="VF"),"-",
   IF('Dados da OS'!$D$8=Parâmetros!$B$3,
      IF(OR(ISBLANK(D78),ISBLANK(F78)),"-",
         IF(L78="L","Baixa",IF(L78="A","Média",IF(L78="H","Alta","-")))),
      IF('Dados da OS'!$D$8=Parâmetros!$B$4,
         IF(OR(B78="ALI",B78="AIE"),"Baixa",IF(OR(B78="EE",B78="SE",B78="CE"),"Média","-")),
         IF(OR('Dados da OS'!$D$8=Parâmetros!$B$5,'Dados da OS'!$D$8=Parâmetros!$B$6),"-"))))</f>
        <v>-</v>
      </c>
      <c r="P78" s="59" t="str">
        <f xml:space="preserve">
IF(OR(ISBLANK(B78),ISBLANK(C78),B78="N/A",ISBLANK('Dados da OS'!$D$8)),"",
   IF(OR('Dados da OS'!$D$8=Parâmetros!$B$3,'Dados da OS'!$D$8=Parâmetros!$B$4),
      IF(OR(AND(B78="INM",N78&lt;&gt;"VF"),AND(N78="VF",B78&lt;&gt;"INM")),"",
        IF(AND(B78="INM",N78="VF"),IF(ISBLANK(H78),"",M78*H78),
        IF('Dados da OS'!$D$8=Parâmetros!$B$4,
           IF(OR(B78="CE",B78="EE"),4,IF(B78="SE",5,IF(B78="ALI",7,IF(B78="AIE",5,"")))),
        IF('Dados da OS'!$D$8=Parâmetros!$B$3,
           IF(OR(ISBLANK(D78),ISBLANK(F78)),"",
              IF(B78="ALI",IF(L78="L",7,IF(L78="A",10,15)),
                 IF(B78="AIE",IF(L78="L",5,IF(L78="A",7,10)),
                    IF(B78="SE",IF(L78="L",4,IF(L78="A",5,7)),
                       IF(OR(B78="EE",B78="CE"),IF(L78="L",3,IF(L78="A",4,6)),""))))))))),
   IF('Dados da OS'!$D$8=Parâmetros!$B$5,
      IF(OR(AND(B78="INM",N78&lt;&gt;"VF"),AND(N78="VF",B78&lt;&gt;"INM")),"",
         IF(B78="INM",IF(N78="VF",M78*H78,""),
            IF(B78="PE",4.6,
            IF(B78="AL",7,"")))),
   IF('Dados da OS'!$D$8=Parâmetros!$B$6,
      IF(B78="ALI",35,IF(B78="AIE",15,"")),""))
    )
)</f>
        <v/>
      </c>
      <c r="Q78" s="60" t="str">
        <f t="shared" si="13"/>
        <v/>
      </c>
      <c r="R78" s="61"/>
      <c r="S78" s="62"/>
      <c r="T78" s="80" t="s">
        <v>21</v>
      </c>
      <c r="U78" s="81"/>
      <c r="V78" s="99"/>
      <c r="W78" s="55"/>
      <c r="X78" s="55"/>
      <c r="Y78" s="56"/>
      <c r="Z78" s="55"/>
      <c r="AA78" s="56"/>
      <c r="AB78" s="55"/>
      <c r="AC78" s="57" t="str">
        <f t="shared" si="14"/>
        <v/>
      </c>
      <c r="AD78" s="57" t="str">
        <f t="shared" si="15"/>
        <v/>
      </c>
      <c r="AE78" s="57" t="str">
        <f xml:space="preserve">
IF(OR('Dados da OS'!$D$8=Parâmetros!$B$3,'Dados da OS'!$D$8=Parâmetros!$B$4),
  IF(OR(ISBLANK(X78),ISBLANK(Z78)),
     IF(OR(V78="ALI",V78="AIE"),"L",IF(ISBLANK(V78),"","A")),
     IF(V78="EE",IF(Z78&gt;=3,IF(X78&gt;=5,"H","A"),
     IF(Z78&gt;=2,IF(X78&gt;=16,"H",IF(X78&lt;=4,"L","A")),IF(X78&lt;=15,"L","A"))),
     IF(OR(V78="SE",V78="CE"),IF(Z78&gt;=4,IF(X78&gt;=6,"H","A"),IF(Z78&gt;=2,IF(X78&gt;=20,"H",IF(X78&lt;=5,"L","A")),IF(X78&lt;=19,"L","A"))),
     IF(OR(V78="ALI",V78="AIE"),IF(Z78&gt;=6,IF(X78&gt;=20,"H","A"),IF(Z78&gt;=2,IF(X78&gt;=51,"H",IF(X78&lt;=19,"L","A")),IF(X78&lt;=50,"L","A"))))))),
IF('Dados da OS'!$D$8=Parâmetros!$B$6,"Indicativa",
IF('Dados da OS'!$D$8=Parâmetros!$B$5,"PFS","")))</f>
        <v/>
      </c>
      <c r="AF78" s="57">
        <f>IFERROR(VLOOKUP(W78,'Fatores de Impacto e INMs'!$A$3:$D$32,3,0),1)</f>
        <v>1</v>
      </c>
      <c r="AG78" s="57">
        <f>IFERROR(VLOOKUP(W78,'Fatores de Impacto e INMs'!$A$3:$E$32,5,0),1)</f>
        <v>1</v>
      </c>
      <c r="AH78" s="82" t="str">
        <f xml:space="preserve">
IF(OR('Dados da OS'!$D$8="Selecione o tipo da contagem",ISBLANK('Dados da OS'!$D$8),V78="INM",V78="N/A",ISBLANK(V78),ISBLANK(W78),AG78="VF"),"-",
   IF('Dados da OS'!$D$8=Parâmetros!$B$3,
      IF(OR(ISBLANK(X78),ISBLANK(Z78)),"-",
         IF(AE78="L","Baixa",IF(AE78="A","Média",IF(AE78="H","Alta","-")))),
      IF('Dados da OS'!$D$8=Parâmetros!$B$4,
         IF(OR(V78="ALI",V78="AIE"),"Baixa",IF(OR(V78="EE",V78="SE",V78="CE"),"Média","-")),
         IF(OR('Dados da OS'!$D$8=Parâmetros!$B$5,'Dados da OS'!$D$8=Parâmetros!$B$6),"-"))))</f>
        <v>-</v>
      </c>
      <c r="AI78" s="83" t="str">
        <f xml:space="preserve">
IF(OR(ISBLANK(V78),ISBLANK(U78),ISBLANK(W78),V78="N/A",ISBLANK('Dados da OS'!$D$8)),"",
   IF(OR('Dados da OS'!$D$8=Parâmetros!$B$3,'Dados da OS'!$D$8=Parâmetros!$B$4),
      IF(OR(AND(V78="INM",AG78&lt;&gt;"VF"),AND(AG78="VF",V78&lt;&gt;"INM")),"",
        IF(AND(V78="INM",AG78="VF"),IF(ISBLANK(AB78),"",AF78*AB78),
        IF('Dados da OS'!$D$8=Parâmetros!$B$4,
           IF(OR(V78="CE",V78="EE"),4,IF(V78="SE",5,IF(V78="ALI",7,IF(V78="AIE",5,"")))),
        IF('Dados da OS'!$D$8=Parâmetros!$B$3,
           IF(OR(ISBLANK(X78),ISBLANK(Z78)),"",
              IF(V78="ALI",IF(AE78="L",7,IF(AE78="A",10,15)),
                 IF(V78="AIE",IF(AE78="L",5,IF(AE78="A",7,10)),
                    IF(V78="SE",IF(AE78="L",4,IF(AE78="A",5,7)),
                       IF(OR(V78="EE",V78="CE"),IF(AE78="L",3,IF(AE78="A",4,6)),""))))))))),
   IF('Dados da OS'!$D$8=Parâmetros!$B$5,
      IF(OR(AND(V78="INM",AG78&lt;&gt;"VF"),AND(AG78="VF",V78&lt;&gt;"INM")),"",
         IF(V78="INM",IF(AG78="VF",AF78*AB78,""),
            IF(V78="PE",4.6,
            IF(V78="AL",7,"")))),
   IF('Dados da OS'!$D$8=Parâmetros!$B$6,
      IF(V78="ALI",35,IF(V78="AIE",15,"")),""))
    )
)</f>
        <v/>
      </c>
      <c r="AJ78" s="82" t="str">
        <f t="shared" si="16"/>
        <v/>
      </c>
      <c r="AK78" s="84"/>
      <c r="AL78" s="85" t="s">
        <v>21</v>
      </c>
      <c r="AM78" s="86"/>
      <c r="AN78" s="85"/>
      <c r="AO78" s="87"/>
      <c r="AP78" s="85"/>
      <c r="AQ78" s="86"/>
      <c r="AR78" s="85"/>
    </row>
    <row r="79" spans="1:44" ht="15.75" customHeight="1">
      <c r="A79" s="54"/>
      <c r="B79" s="100"/>
      <c r="C79" s="55"/>
      <c r="D79" s="55"/>
      <c r="E79" s="56"/>
      <c r="F79" s="55"/>
      <c r="G79" s="56"/>
      <c r="H79" s="55"/>
      <c r="I79" s="64"/>
      <c r="J79" s="57" t="str">
        <f t="shared" si="11"/>
        <v/>
      </c>
      <c r="K79" s="57" t="str">
        <f t="shared" si="12"/>
        <v/>
      </c>
      <c r="L79" s="57" t="str">
        <f xml:space="preserve">
IF(OR('Dados da OS'!$D$8=Parâmetros!$B$3,'Dados da OS'!$D$8=Parâmetros!$B$4),
  IF(OR(ISBLANK(D79),ISBLANK(F79)),
     IF(OR(B79="ALI",B79="AIE"),"L",IF(ISBLANK(B79),"","A")),
     IF(B79="EE",IF(F79&gt;=3,IF(D79&gt;=5,"H","A"),
     IF(F79&gt;=2,IF(D79&gt;=16,"H",IF(D79&lt;=4,"L","A")),IF(D79&lt;=15,"L","A"))),
     IF(OR(B79="SE",B79="CE"),IF(F79&gt;=4,IF(D79&gt;=6,"H","A"),IF(F79&gt;=2,IF(D79&gt;=20,"H",IF(D79&lt;=5,"L","A")),IF(D79&lt;=19,"L","A"))),
     IF(OR(B79="ALI",B79="AIE"),IF(F79&gt;=6,IF(D79&gt;=20,"H","A"),IF(F79&gt;=2,IF(D79&gt;=51,"H",IF(D79&lt;=19,"L","A")),IF(D79&lt;=50,"L","A"))))))),
IF('Dados da OS'!$D$8=Parâmetros!$B$6,"Indicativa",
IF('Dados da OS'!$D$8=Parâmetros!$B$5,"PFS","")))</f>
        <v/>
      </c>
      <c r="M79" s="57">
        <f>IFERROR(VLOOKUP(C79,'Fatores de Impacto e INMs'!$A$3:$D$32,3,0),1)</f>
        <v>1</v>
      </c>
      <c r="N79" s="57">
        <f>IFERROR(VLOOKUP(C79,'Fatores de Impacto e INMs'!$A$3:$E$32,5,0),1)</f>
        <v>1</v>
      </c>
      <c r="O79" s="63" t="str">
        <f xml:space="preserve">
IF(OR('Dados da OS'!$D$8="Selecione o tipo da contagem",ISBLANK('Dados da OS'!$D$8),B79="INM",B79="N/A",ISBLANK(B79),ISBLANK(C79),N79="VF"),"-",
   IF('Dados da OS'!$D$8=Parâmetros!$B$3,
      IF(OR(ISBLANK(D79),ISBLANK(F79)),"-",
         IF(L79="L","Baixa",IF(L79="A","Média",IF(L79="H","Alta","-")))),
      IF('Dados da OS'!$D$8=Parâmetros!$B$4,
         IF(OR(B79="ALI",B79="AIE"),"Baixa",IF(OR(B79="EE",B79="SE",B79="CE"),"Média","-")),
         IF(OR('Dados da OS'!$D$8=Parâmetros!$B$5,'Dados da OS'!$D$8=Parâmetros!$B$6),"-"))))</f>
        <v>-</v>
      </c>
      <c r="P79" s="59" t="str">
        <f xml:space="preserve">
IF(OR(ISBLANK(B79),ISBLANK(C79),B79="N/A",ISBLANK('Dados da OS'!$D$8)),"",
   IF(OR('Dados da OS'!$D$8=Parâmetros!$B$3,'Dados da OS'!$D$8=Parâmetros!$B$4),
      IF(OR(AND(B79="INM",N79&lt;&gt;"VF"),AND(N79="VF",B79&lt;&gt;"INM")),"",
        IF(AND(B79="INM",N79="VF"),IF(ISBLANK(H79),"",M79*H79),
        IF('Dados da OS'!$D$8=Parâmetros!$B$4,
           IF(OR(B79="CE",B79="EE"),4,IF(B79="SE",5,IF(B79="ALI",7,IF(B79="AIE",5,"")))),
        IF('Dados da OS'!$D$8=Parâmetros!$B$3,
           IF(OR(ISBLANK(D79),ISBLANK(F79)),"",
              IF(B79="ALI",IF(L79="L",7,IF(L79="A",10,15)),
                 IF(B79="AIE",IF(L79="L",5,IF(L79="A",7,10)),
                    IF(B79="SE",IF(L79="L",4,IF(L79="A",5,7)),
                       IF(OR(B79="EE",B79="CE"),IF(L79="L",3,IF(L79="A",4,6)),""))))))))),
   IF('Dados da OS'!$D$8=Parâmetros!$B$5,
      IF(OR(AND(B79="INM",N79&lt;&gt;"VF"),AND(N79="VF",B79&lt;&gt;"INM")),"",
         IF(B79="INM",IF(N79="VF",M79*H79,""),
            IF(B79="PE",4.6,
            IF(B79="AL",7,"")))),
   IF('Dados da OS'!$D$8=Parâmetros!$B$6,
      IF(B79="ALI",35,IF(B79="AIE",15,"")),""))
    )
)</f>
        <v/>
      </c>
      <c r="Q79" s="60" t="str">
        <f t="shared" si="13"/>
        <v/>
      </c>
      <c r="R79" s="61"/>
      <c r="S79" s="62"/>
      <c r="T79" s="80" t="s">
        <v>21</v>
      </c>
      <c r="U79" s="81"/>
      <c r="V79" s="99"/>
      <c r="W79" s="55"/>
      <c r="X79" s="55"/>
      <c r="Y79" s="56"/>
      <c r="Z79" s="55"/>
      <c r="AA79" s="56"/>
      <c r="AB79" s="55"/>
      <c r="AC79" s="57" t="str">
        <f t="shared" si="14"/>
        <v/>
      </c>
      <c r="AD79" s="57" t="str">
        <f t="shared" si="15"/>
        <v/>
      </c>
      <c r="AE79" s="57" t="str">
        <f xml:space="preserve">
IF(OR('Dados da OS'!$D$8=Parâmetros!$B$3,'Dados da OS'!$D$8=Parâmetros!$B$4),
  IF(OR(ISBLANK(X79),ISBLANK(Z79)),
     IF(OR(V79="ALI",V79="AIE"),"L",IF(ISBLANK(V79),"","A")),
     IF(V79="EE",IF(Z79&gt;=3,IF(X79&gt;=5,"H","A"),
     IF(Z79&gt;=2,IF(X79&gt;=16,"H",IF(X79&lt;=4,"L","A")),IF(X79&lt;=15,"L","A"))),
     IF(OR(V79="SE",V79="CE"),IF(Z79&gt;=4,IF(X79&gt;=6,"H","A"),IF(Z79&gt;=2,IF(X79&gt;=20,"H",IF(X79&lt;=5,"L","A")),IF(X79&lt;=19,"L","A"))),
     IF(OR(V79="ALI",V79="AIE"),IF(Z79&gt;=6,IF(X79&gt;=20,"H","A"),IF(Z79&gt;=2,IF(X79&gt;=51,"H",IF(X79&lt;=19,"L","A")),IF(X79&lt;=50,"L","A"))))))),
IF('Dados da OS'!$D$8=Parâmetros!$B$6,"Indicativa",
IF('Dados da OS'!$D$8=Parâmetros!$B$5,"PFS","")))</f>
        <v/>
      </c>
      <c r="AF79" s="57">
        <f>IFERROR(VLOOKUP(W79,'Fatores de Impacto e INMs'!$A$3:$D$32,3,0),1)</f>
        <v>1</v>
      </c>
      <c r="AG79" s="57">
        <f>IFERROR(VLOOKUP(W79,'Fatores de Impacto e INMs'!$A$3:$E$32,5,0),1)</f>
        <v>1</v>
      </c>
      <c r="AH79" s="82" t="str">
        <f xml:space="preserve">
IF(OR('Dados da OS'!$D$8="Selecione o tipo da contagem",ISBLANK('Dados da OS'!$D$8),V79="INM",V79="N/A",ISBLANK(V79),ISBLANK(W79),AG79="VF"),"-",
   IF('Dados da OS'!$D$8=Parâmetros!$B$3,
      IF(OR(ISBLANK(X79),ISBLANK(Z79)),"-",
         IF(AE79="L","Baixa",IF(AE79="A","Média",IF(AE79="H","Alta","-")))),
      IF('Dados da OS'!$D$8=Parâmetros!$B$4,
         IF(OR(V79="ALI",V79="AIE"),"Baixa",IF(OR(V79="EE",V79="SE",V79="CE"),"Média","-")),
         IF(OR('Dados da OS'!$D$8=Parâmetros!$B$5,'Dados da OS'!$D$8=Parâmetros!$B$6),"-"))))</f>
        <v>-</v>
      </c>
      <c r="AI79" s="83" t="str">
        <f xml:space="preserve">
IF(OR(ISBLANK(V79),ISBLANK(U79),ISBLANK(W79),V79="N/A",ISBLANK('Dados da OS'!$D$8)),"",
   IF(OR('Dados da OS'!$D$8=Parâmetros!$B$3,'Dados da OS'!$D$8=Parâmetros!$B$4),
      IF(OR(AND(V79="INM",AG79&lt;&gt;"VF"),AND(AG79="VF",V79&lt;&gt;"INM")),"",
        IF(AND(V79="INM",AG79="VF"),IF(ISBLANK(AB79),"",AF79*AB79),
        IF('Dados da OS'!$D$8=Parâmetros!$B$4,
           IF(OR(V79="CE",V79="EE"),4,IF(V79="SE",5,IF(V79="ALI",7,IF(V79="AIE",5,"")))),
        IF('Dados da OS'!$D$8=Parâmetros!$B$3,
           IF(OR(ISBLANK(X79),ISBLANK(Z79)),"",
              IF(V79="ALI",IF(AE79="L",7,IF(AE79="A",10,15)),
                 IF(V79="AIE",IF(AE79="L",5,IF(AE79="A",7,10)),
                    IF(V79="SE",IF(AE79="L",4,IF(AE79="A",5,7)),
                       IF(OR(V79="EE",V79="CE"),IF(AE79="L",3,IF(AE79="A",4,6)),""))))))))),
   IF('Dados da OS'!$D$8=Parâmetros!$B$5,
      IF(OR(AND(V79="INM",AG79&lt;&gt;"VF"),AND(AG79="VF",V79&lt;&gt;"INM")),"",
         IF(V79="INM",IF(AG79="VF",AF79*AB79,""),
            IF(V79="PE",4.6,
            IF(V79="AL",7,"")))),
   IF('Dados da OS'!$D$8=Parâmetros!$B$6,
      IF(V79="ALI",35,IF(V79="AIE",15,"")),""))
    )
)</f>
        <v/>
      </c>
      <c r="AJ79" s="82" t="str">
        <f t="shared" si="16"/>
        <v/>
      </c>
      <c r="AK79" s="84"/>
      <c r="AL79" s="85" t="s">
        <v>21</v>
      </c>
      <c r="AM79" s="86"/>
      <c r="AN79" s="85"/>
      <c r="AO79" s="87"/>
      <c r="AP79" s="85"/>
      <c r="AQ79" s="86"/>
      <c r="AR79" s="85"/>
    </row>
    <row r="80" spans="1:44" ht="15.75" customHeight="1">
      <c r="A80" s="54"/>
      <c r="B80" s="100"/>
      <c r="C80" s="55"/>
      <c r="D80" s="55"/>
      <c r="E80" s="56"/>
      <c r="F80" s="55"/>
      <c r="G80" s="56"/>
      <c r="H80" s="55"/>
      <c r="I80" s="64"/>
      <c r="J80" s="57" t="str">
        <f t="shared" si="11"/>
        <v/>
      </c>
      <c r="K80" s="57" t="str">
        <f t="shared" si="12"/>
        <v/>
      </c>
      <c r="L80" s="57" t="str">
        <f xml:space="preserve">
IF(OR('Dados da OS'!$D$8=Parâmetros!$B$3,'Dados da OS'!$D$8=Parâmetros!$B$4),
  IF(OR(ISBLANK(D80),ISBLANK(F80)),
     IF(OR(B80="ALI",B80="AIE"),"L",IF(ISBLANK(B80),"","A")),
     IF(B80="EE",IF(F80&gt;=3,IF(D80&gt;=5,"H","A"),
     IF(F80&gt;=2,IF(D80&gt;=16,"H",IF(D80&lt;=4,"L","A")),IF(D80&lt;=15,"L","A"))),
     IF(OR(B80="SE",B80="CE"),IF(F80&gt;=4,IF(D80&gt;=6,"H","A"),IF(F80&gt;=2,IF(D80&gt;=20,"H",IF(D80&lt;=5,"L","A")),IF(D80&lt;=19,"L","A"))),
     IF(OR(B80="ALI",B80="AIE"),IF(F80&gt;=6,IF(D80&gt;=20,"H","A"),IF(F80&gt;=2,IF(D80&gt;=51,"H",IF(D80&lt;=19,"L","A")),IF(D80&lt;=50,"L","A"))))))),
IF('Dados da OS'!$D$8=Parâmetros!$B$6,"Indicativa",
IF('Dados da OS'!$D$8=Parâmetros!$B$5,"PFS","")))</f>
        <v/>
      </c>
      <c r="M80" s="57">
        <f>IFERROR(VLOOKUP(C80,'Fatores de Impacto e INMs'!$A$3:$D$32,3,0),1)</f>
        <v>1</v>
      </c>
      <c r="N80" s="57">
        <f>IFERROR(VLOOKUP(C80,'Fatores de Impacto e INMs'!$A$3:$E$32,5,0),1)</f>
        <v>1</v>
      </c>
      <c r="O80" s="63" t="str">
        <f xml:space="preserve">
IF(OR('Dados da OS'!$D$8="Selecione o tipo da contagem",ISBLANK('Dados da OS'!$D$8),B80="INM",B80="N/A",ISBLANK(B80),ISBLANK(C80),N80="VF"),"-",
   IF('Dados da OS'!$D$8=Parâmetros!$B$3,
      IF(OR(ISBLANK(D80),ISBLANK(F80)),"-",
         IF(L80="L","Baixa",IF(L80="A","Média",IF(L80="H","Alta","-")))),
      IF('Dados da OS'!$D$8=Parâmetros!$B$4,
         IF(OR(B80="ALI",B80="AIE"),"Baixa",IF(OR(B80="EE",B80="SE",B80="CE"),"Média","-")),
         IF(OR('Dados da OS'!$D$8=Parâmetros!$B$5,'Dados da OS'!$D$8=Parâmetros!$B$6),"-"))))</f>
        <v>-</v>
      </c>
      <c r="P80" s="59" t="str">
        <f xml:space="preserve">
IF(OR(ISBLANK(B80),ISBLANK(C80),B80="N/A",ISBLANK('Dados da OS'!$D$8)),"",
   IF(OR('Dados da OS'!$D$8=Parâmetros!$B$3,'Dados da OS'!$D$8=Parâmetros!$B$4),
      IF(OR(AND(B80="INM",N80&lt;&gt;"VF"),AND(N80="VF",B80&lt;&gt;"INM")),"",
        IF(AND(B80="INM",N80="VF"),IF(ISBLANK(H80),"",M80*H80),
        IF('Dados da OS'!$D$8=Parâmetros!$B$4,
           IF(OR(B80="CE",B80="EE"),4,IF(B80="SE",5,IF(B80="ALI",7,IF(B80="AIE",5,"")))),
        IF('Dados da OS'!$D$8=Parâmetros!$B$3,
           IF(OR(ISBLANK(D80),ISBLANK(F80)),"",
              IF(B80="ALI",IF(L80="L",7,IF(L80="A",10,15)),
                 IF(B80="AIE",IF(L80="L",5,IF(L80="A",7,10)),
                    IF(B80="SE",IF(L80="L",4,IF(L80="A",5,7)),
                       IF(OR(B80="EE",B80="CE"),IF(L80="L",3,IF(L80="A",4,6)),""))))))))),
   IF('Dados da OS'!$D$8=Parâmetros!$B$5,
      IF(OR(AND(B80="INM",N80&lt;&gt;"VF"),AND(N80="VF",B80&lt;&gt;"INM")),"",
         IF(B80="INM",IF(N80="VF",M80*H80,""),
            IF(B80="PE",4.6,
            IF(B80="AL",7,"")))),
   IF('Dados da OS'!$D$8=Parâmetros!$B$6,
      IF(B80="ALI",35,IF(B80="AIE",15,"")),""))
    )
)</f>
        <v/>
      </c>
      <c r="Q80" s="60" t="str">
        <f t="shared" si="13"/>
        <v/>
      </c>
      <c r="R80" s="61"/>
      <c r="S80" s="62"/>
      <c r="T80" s="80" t="s">
        <v>21</v>
      </c>
      <c r="U80" s="81"/>
      <c r="V80" s="99"/>
      <c r="W80" s="55"/>
      <c r="X80" s="55"/>
      <c r="Y80" s="56"/>
      <c r="Z80" s="55"/>
      <c r="AA80" s="56"/>
      <c r="AB80" s="55"/>
      <c r="AC80" s="57" t="str">
        <f t="shared" si="14"/>
        <v/>
      </c>
      <c r="AD80" s="57" t="str">
        <f t="shared" si="15"/>
        <v/>
      </c>
      <c r="AE80" s="57" t="str">
        <f xml:space="preserve">
IF(OR('Dados da OS'!$D$8=Parâmetros!$B$3,'Dados da OS'!$D$8=Parâmetros!$B$4),
  IF(OR(ISBLANK(X80),ISBLANK(Z80)),
     IF(OR(V80="ALI",V80="AIE"),"L",IF(ISBLANK(V80),"","A")),
     IF(V80="EE",IF(Z80&gt;=3,IF(X80&gt;=5,"H","A"),
     IF(Z80&gt;=2,IF(X80&gt;=16,"H",IF(X80&lt;=4,"L","A")),IF(X80&lt;=15,"L","A"))),
     IF(OR(V80="SE",V80="CE"),IF(Z80&gt;=4,IF(X80&gt;=6,"H","A"),IF(Z80&gt;=2,IF(X80&gt;=20,"H",IF(X80&lt;=5,"L","A")),IF(X80&lt;=19,"L","A"))),
     IF(OR(V80="ALI",V80="AIE"),IF(Z80&gt;=6,IF(X80&gt;=20,"H","A"),IF(Z80&gt;=2,IF(X80&gt;=51,"H",IF(X80&lt;=19,"L","A")),IF(X80&lt;=50,"L","A"))))))),
IF('Dados da OS'!$D$8=Parâmetros!$B$6,"Indicativa",
IF('Dados da OS'!$D$8=Parâmetros!$B$5,"PFS","")))</f>
        <v/>
      </c>
      <c r="AF80" s="57">
        <f>IFERROR(VLOOKUP(W80,'Fatores de Impacto e INMs'!$A$3:$D$32,3,0),1)</f>
        <v>1</v>
      </c>
      <c r="AG80" s="57">
        <f>IFERROR(VLOOKUP(W80,'Fatores de Impacto e INMs'!$A$3:$E$32,5,0),1)</f>
        <v>1</v>
      </c>
      <c r="AH80" s="82" t="str">
        <f xml:space="preserve">
IF(OR('Dados da OS'!$D$8="Selecione o tipo da contagem",ISBLANK('Dados da OS'!$D$8),V80="INM",V80="N/A",ISBLANK(V80),ISBLANK(W80),AG80="VF"),"-",
   IF('Dados da OS'!$D$8=Parâmetros!$B$3,
      IF(OR(ISBLANK(X80),ISBLANK(Z80)),"-",
         IF(AE80="L","Baixa",IF(AE80="A","Média",IF(AE80="H","Alta","-")))),
      IF('Dados da OS'!$D$8=Parâmetros!$B$4,
         IF(OR(V80="ALI",V80="AIE"),"Baixa",IF(OR(V80="EE",V80="SE",V80="CE"),"Média","-")),
         IF(OR('Dados da OS'!$D$8=Parâmetros!$B$5,'Dados da OS'!$D$8=Parâmetros!$B$6),"-"))))</f>
        <v>-</v>
      </c>
      <c r="AI80" s="83" t="str">
        <f xml:space="preserve">
IF(OR(ISBLANK(V80),ISBLANK(U80),ISBLANK(W80),V80="N/A",ISBLANK('Dados da OS'!$D$8)),"",
   IF(OR('Dados da OS'!$D$8=Parâmetros!$B$3,'Dados da OS'!$D$8=Parâmetros!$B$4),
      IF(OR(AND(V80="INM",AG80&lt;&gt;"VF"),AND(AG80="VF",V80&lt;&gt;"INM")),"",
        IF(AND(V80="INM",AG80="VF"),IF(ISBLANK(AB80),"",AF80*AB80),
        IF('Dados da OS'!$D$8=Parâmetros!$B$4,
           IF(OR(V80="CE",V80="EE"),4,IF(V80="SE",5,IF(V80="ALI",7,IF(V80="AIE",5,"")))),
        IF('Dados da OS'!$D$8=Parâmetros!$B$3,
           IF(OR(ISBLANK(X80),ISBLANK(Z80)),"",
              IF(V80="ALI",IF(AE80="L",7,IF(AE80="A",10,15)),
                 IF(V80="AIE",IF(AE80="L",5,IF(AE80="A",7,10)),
                    IF(V80="SE",IF(AE80="L",4,IF(AE80="A",5,7)),
                       IF(OR(V80="EE",V80="CE"),IF(AE80="L",3,IF(AE80="A",4,6)),""))))))))),
   IF('Dados da OS'!$D$8=Parâmetros!$B$5,
      IF(OR(AND(V80="INM",AG80&lt;&gt;"VF"),AND(AG80="VF",V80&lt;&gt;"INM")),"",
         IF(V80="INM",IF(AG80="VF",AF80*AB80,""),
            IF(V80="PE",4.6,
            IF(V80="AL",7,"")))),
   IF('Dados da OS'!$D$8=Parâmetros!$B$6,
      IF(V80="ALI",35,IF(V80="AIE",15,"")),""))
    )
)</f>
        <v/>
      </c>
      <c r="AJ80" s="82" t="str">
        <f t="shared" si="16"/>
        <v/>
      </c>
      <c r="AK80" s="84"/>
      <c r="AL80" s="85" t="s">
        <v>21</v>
      </c>
      <c r="AM80" s="86"/>
      <c r="AN80" s="85"/>
      <c r="AO80" s="87"/>
      <c r="AP80" s="85"/>
      <c r="AQ80" s="86"/>
      <c r="AR80" s="85"/>
    </row>
    <row r="81" spans="1:44" ht="15.75" customHeight="1">
      <c r="A81" s="54"/>
      <c r="B81" s="100"/>
      <c r="C81" s="55"/>
      <c r="D81" s="55"/>
      <c r="E81" s="56"/>
      <c r="F81" s="55"/>
      <c r="G81" s="56"/>
      <c r="H81" s="55"/>
      <c r="I81" s="64"/>
      <c r="J81" s="57" t="str">
        <f t="shared" si="11"/>
        <v/>
      </c>
      <c r="K81" s="57" t="str">
        <f t="shared" si="12"/>
        <v/>
      </c>
      <c r="L81" s="57" t="str">
        <f xml:space="preserve">
IF(OR('Dados da OS'!$D$8=Parâmetros!$B$3,'Dados da OS'!$D$8=Parâmetros!$B$4),
  IF(OR(ISBLANK(D81),ISBLANK(F81)),
     IF(OR(B81="ALI",B81="AIE"),"L",IF(ISBLANK(B81),"","A")),
     IF(B81="EE",IF(F81&gt;=3,IF(D81&gt;=5,"H","A"),
     IF(F81&gt;=2,IF(D81&gt;=16,"H",IF(D81&lt;=4,"L","A")),IF(D81&lt;=15,"L","A"))),
     IF(OR(B81="SE",B81="CE"),IF(F81&gt;=4,IF(D81&gt;=6,"H","A"),IF(F81&gt;=2,IF(D81&gt;=20,"H",IF(D81&lt;=5,"L","A")),IF(D81&lt;=19,"L","A"))),
     IF(OR(B81="ALI",B81="AIE"),IF(F81&gt;=6,IF(D81&gt;=20,"H","A"),IF(F81&gt;=2,IF(D81&gt;=51,"H",IF(D81&lt;=19,"L","A")),IF(D81&lt;=50,"L","A"))))))),
IF('Dados da OS'!$D$8=Parâmetros!$B$6,"Indicativa",
IF('Dados da OS'!$D$8=Parâmetros!$B$5,"PFS","")))</f>
        <v/>
      </c>
      <c r="M81" s="57">
        <f>IFERROR(VLOOKUP(C81,'Fatores de Impacto e INMs'!$A$3:$D$32,3,0),1)</f>
        <v>1</v>
      </c>
      <c r="N81" s="57">
        <f>IFERROR(VLOOKUP(C81,'Fatores de Impacto e INMs'!$A$3:$E$32,5,0),1)</f>
        <v>1</v>
      </c>
      <c r="O81" s="63" t="str">
        <f xml:space="preserve">
IF(OR('Dados da OS'!$D$8="Selecione o tipo da contagem",ISBLANK('Dados da OS'!$D$8),B81="INM",B81="N/A",ISBLANK(B81),ISBLANK(C81),N81="VF"),"-",
   IF('Dados da OS'!$D$8=Parâmetros!$B$3,
      IF(OR(ISBLANK(D81),ISBLANK(F81)),"-",
         IF(L81="L","Baixa",IF(L81="A","Média",IF(L81="H","Alta","-")))),
      IF('Dados da OS'!$D$8=Parâmetros!$B$4,
         IF(OR(B81="ALI",B81="AIE"),"Baixa",IF(OR(B81="EE",B81="SE",B81="CE"),"Média","-")),
         IF(OR('Dados da OS'!$D$8=Parâmetros!$B$5,'Dados da OS'!$D$8=Parâmetros!$B$6),"-"))))</f>
        <v>-</v>
      </c>
      <c r="P81" s="59" t="str">
        <f xml:space="preserve">
IF(OR(ISBLANK(B81),ISBLANK(C81),B81="N/A",ISBLANK('Dados da OS'!$D$8)),"",
   IF(OR('Dados da OS'!$D$8=Parâmetros!$B$3,'Dados da OS'!$D$8=Parâmetros!$B$4),
      IF(OR(AND(B81="INM",N81&lt;&gt;"VF"),AND(N81="VF",B81&lt;&gt;"INM")),"",
        IF(AND(B81="INM",N81="VF"),IF(ISBLANK(H81),"",M81*H81),
        IF('Dados da OS'!$D$8=Parâmetros!$B$4,
           IF(OR(B81="CE",B81="EE"),4,IF(B81="SE",5,IF(B81="ALI",7,IF(B81="AIE",5,"")))),
        IF('Dados da OS'!$D$8=Parâmetros!$B$3,
           IF(OR(ISBLANK(D81),ISBLANK(F81)),"",
              IF(B81="ALI",IF(L81="L",7,IF(L81="A",10,15)),
                 IF(B81="AIE",IF(L81="L",5,IF(L81="A",7,10)),
                    IF(B81="SE",IF(L81="L",4,IF(L81="A",5,7)),
                       IF(OR(B81="EE",B81="CE"),IF(L81="L",3,IF(L81="A",4,6)),""))))))))),
   IF('Dados da OS'!$D$8=Parâmetros!$B$5,
      IF(OR(AND(B81="INM",N81&lt;&gt;"VF"),AND(N81="VF",B81&lt;&gt;"INM")),"",
         IF(B81="INM",IF(N81="VF",M81*H81,""),
            IF(B81="PE",4.6,
            IF(B81="AL",7,"")))),
   IF('Dados da OS'!$D$8=Parâmetros!$B$6,
      IF(B81="ALI",35,IF(B81="AIE",15,"")),""))
    )
)</f>
        <v/>
      </c>
      <c r="Q81" s="60" t="str">
        <f t="shared" si="13"/>
        <v/>
      </c>
      <c r="R81" s="61"/>
      <c r="S81" s="62"/>
      <c r="T81" s="80" t="s">
        <v>21</v>
      </c>
      <c r="U81" s="81"/>
      <c r="V81" s="99"/>
      <c r="W81" s="55"/>
      <c r="X81" s="55"/>
      <c r="Y81" s="56"/>
      <c r="Z81" s="55"/>
      <c r="AA81" s="56"/>
      <c r="AB81" s="55"/>
      <c r="AC81" s="57" t="str">
        <f t="shared" si="14"/>
        <v/>
      </c>
      <c r="AD81" s="57" t="str">
        <f t="shared" si="15"/>
        <v/>
      </c>
      <c r="AE81" s="57" t="str">
        <f xml:space="preserve">
IF(OR('Dados da OS'!$D$8=Parâmetros!$B$3,'Dados da OS'!$D$8=Parâmetros!$B$4),
  IF(OR(ISBLANK(X81),ISBLANK(Z81)),
     IF(OR(V81="ALI",V81="AIE"),"L",IF(ISBLANK(V81),"","A")),
     IF(V81="EE",IF(Z81&gt;=3,IF(X81&gt;=5,"H","A"),
     IF(Z81&gt;=2,IF(X81&gt;=16,"H",IF(X81&lt;=4,"L","A")),IF(X81&lt;=15,"L","A"))),
     IF(OR(V81="SE",V81="CE"),IF(Z81&gt;=4,IF(X81&gt;=6,"H","A"),IF(Z81&gt;=2,IF(X81&gt;=20,"H",IF(X81&lt;=5,"L","A")),IF(X81&lt;=19,"L","A"))),
     IF(OR(V81="ALI",V81="AIE"),IF(Z81&gt;=6,IF(X81&gt;=20,"H","A"),IF(Z81&gt;=2,IF(X81&gt;=51,"H",IF(X81&lt;=19,"L","A")),IF(X81&lt;=50,"L","A"))))))),
IF('Dados da OS'!$D$8=Parâmetros!$B$6,"Indicativa",
IF('Dados da OS'!$D$8=Parâmetros!$B$5,"PFS","")))</f>
        <v/>
      </c>
      <c r="AF81" s="57">
        <f>IFERROR(VLOOKUP(W81,'Fatores de Impacto e INMs'!$A$3:$D$32,3,0),1)</f>
        <v>1</v>
      </c>
      <c r="AG81" s="57">
        <f>IFERROR(VLOOKUP(W81,'Fatores de Impacto e INMs'!$A$3:$E$32,5,0),1)</f>
        <v>1</v>
      </c>
      <c r="AH81" s="82" t="str">
        <f xml:space="preserve">
IF(OR('Dados da OS'!$D$8="Selecione o tipo da contagem",ISBLANK('Dados da OS'!$D$8),V81="INM",V81="N/A",ISBLANK(V81),ISBLANK(W81),AG81="VF"),"-",
   IF('Dados da OS'!$D$8=Parâmetros!$B$3,
      IF(OR(ISBLANK(X81),ISBLANK(Z81)),"-",
         IF(AE81="L","Baixa",IF(AE81="A","Média",IF(AE81="H","Alta","-")))),
      IF('Dados da OS'!$D$8=Parâmetros!$B$4,
         IF(OR(V81="ALI",V81="AIE"),"Baixa",IF(OR(V81="EE",V81="SE",V81="CE"),"Média","-")),
         IF(OR('Dados da OS'!$D$8=Parâmetros!$B$5,'Dados da OS'!$D$8=Parâmetros!$B$6),"-"))))</f>
        <v>-</v>
      </c>
      <c r="AI81" s="83" t="str">
        <f xml:space="preserve">
IF(OR(ISBLANK(V81),ISBLANK(U81),ISBLANK(W81),V81="N/A",ISBLANK('Dados da OS'!$D$8)),"",
   IF(OR('Dados da OS'!$D$8=Parâmetros!$B$3,'Dados da OS'!$D$8=Parâmetros!$B$4),
      IF(OR(AND(V81="INM",AG81&lt;&gt;"VF"),AND(AG81="VF",V81&lt;&gt;"INM")),"",
        IF(AND(V81="INM",AG81="VF"),IF(ISBLANK(AB81),"",AF81*AB81),
        IF('Dados da OS'!$D$8=Parâmetros!$B$4,
           IF(OR(V81="CE",V81="EE"),4,IF(V81="SE",5,IF(V81="ALI",7,IF(V81="AIE",5,"")))),
        IF('Dados da OS'!$D$8=Parâmetros!$B$3,
           IF(OR(ISBLANK(X81),ISBLANK(Z81)),"",
              IF(V81="ALI",IF(AE81="L",7,IF(AE81="A",10,15)),
                 IF(V81="AIE",IF(AE81="L",5,IF(AE81="A",7,10)),
                    IF(V81="SE",IF(AE81="L",4,IF(AE81="A",5,7)),
                       IF(OR(V81="EE",V81="CE"),IF(AE81="L",3,IF(AE81="A",4,6)),""))))))))),
   IF('Dados da OS'!$D$8=Parâmetros!$B$5,
      IF(OR(AND(V81="INM",AG81&lt;&gt;"VF"),AND(AG81="VF",V81&lt;&gt;"INM")),"",
         IF(V81="INM",IF(AG81="VF",AF81*AB81,""),
            IF(V81="PE",4.6,
            IF(V81="AL",7,"")))),
   IF('Dados da OS'!$D$8=Parâmetros!$B$6,
      IF(V81="ALI",35,IF(V81="AIE",15,"")),""))
    )
)</f>
        <v/>
      </c>
      <c r="AJ81" s="82" t="str">
        <f t="shared" si="16"/>
        <v/>
      </c>
      <c r="AK81" s="84"/>
      <c r="AL81" s="85" t="s">
        <v>21</v>
      </c>
      <c r="AM81" s="86"/>
      <c r="AN81" s="85"/>
      <c r="AO81" s="87"/>
      <c r="AP81" s="85"/>
      <c r="AQ81" s="86"/>
      <c r="AR81" s="85"/>
    </row>
    <row r="82" spans="1:44" ht="15.75" customHeight="1">
      <c r="A82" s="54"/>
      <c r="B82" s="100"/>
      <c r="C82" s="55"/>
      <c r="D82" s="55"/>
      <c r="E82" s="56"/>
      <c r="F82" s="55"/>
      <c r="G82" s="56"/>
      <c r="H82" s="55"/>
      <c r="I82" s="64"/>
      <c r="J82" s="57" t="str">
        <f t="shared" si="11"/>
        <v/>
      </c>
      <c r="K82" s="57" t="str">
        <f t="shared" si="12"/>
        <v/>
      </c>
      <c r="L82" s="57" t="str">
        <f xml:space="preserve">
IF(OR('Dados da OS'!$D$8=Parâmetros!$B$3,'Dados da OS'!$D$8=Parâmetros!$B$4),
  IF(OR(ISBLANK(D82),ISBLANK(F82)),
     IF(OR(B82="ALI",B82="AIE"),"L",IF(ISBLANK(B82),"","A")),
     IF(B82="EE",IF(F82&gt;=3,IF(D82&gt;=5,"H","A"),
     IF(F82&gt;=2,IF(D82&gt;=16,"H",IF(D82&lt;=4,"L","A")),IF(D82&lt;=15,"L","A"))),
     IF(OR(B82="SE",B82="CE"),IF(F82&gt;=4,IF(D82&gt;=6,"H","A"),IF(F82&gt;=2,IF(D82&gt;=20,"H",IF(D82&lt;=5,"L","A")),IF(D82&lt;=19,"L","A"))),
     IF(OR(B82="ALI",B82="AIE"),IF(F82&gt;=6,IF(D82&gt;=20,"H","A"),IF(F82&gt;=2,IF(D82&gt;=51,"H",IF(D82&lt;=19,"L","A")),IF(D82&lt;=50,"L","A"))))))),
IF('Dados da OS'!$D$8=Parâmetros!$B$6,"Indicativa",
IF('Dados da OS'!$D$8=Parâmetros!$B$5,"PFS","")))</f>
        <v/>
      </c>
      <c r="M82" s="57">
        <f>IFERROR(VLOOKUP(C82,'Fatores de Impacto e INMs'!$A$3:$D$32,3,0),1)</f>
        <v>1</v>
      </c>
      <c r="N82" s="57">
        <f>IFERROR(VLOOKUP(C82,'Fatores de Impacto e INMs'!$A$3:$E$32,5,0),1)</f>
        <v>1</v>
      </c>
      <c r="O82" s="63" t="str">
        <f xml:space="preserve">
IF(OR('Dados da OS'!$D$8="Selecione o tipo da contagem",ISBLANK('Dados da OS'!$D$8),B82="INM",B82="N/A",ISBLANK(B82),ISBLANK(C82),N82="VF"),"-",
   IF('Dados da OS'!$D$8=Parâmetros!$B$3,
      IF(OR(ISBLANK(D82),ISBLANK(F82)),"-",
         IF(L82="L","Baixa",IF(L82="A","Média",IF(L82="H","Alta","-")))),
      IF('Dados da OS'!$D$8=Parâmetros!$B$4,
         IF(OR(B82="ALI",B82="AIE"),"Baixa",IF(OR(B82="EE",B82="SE",B82="CE"),"Média","-")),
         IF(OR('Dados da OS'!$D$8=Parâmetros!$B$5,'Dados da OS'!$D$8=Parâmetros!$B$6),"-"))))</f>
        <v>-</v>
      </c>
      <c r="P82" s="59" t="str">
        <f xml:space="preserve">
IF(OR(ISBLANK(B82),ISBLANK(C82),B82="N/A",ISBLANK('Dados da OS'!$D$8)),"",
   IF(OR('Dados da OS'!$D$8=Parâmetros!$B$3,'Dados da OS'!$D$8=Parâmetros!$B$4),
      IF(OR(AND(B82="INM",N82&lt;&gt;"VF"),AND(N82="VF",B82&lt;&gt;"INM")),"",
        IF(AND(B82="INM",N82="VF"),IF(ISBLANK(H82),"",M82*H82),
        IF('Dados da OS'!$D$8=Parâmetros!$B$4,
           IF(OR(B82="CE",B82="EE"),4,IF(B82="SE",5,IF(B82="ALI",7,IF(B82="AIE",5,"")))),
        IF('Dados da OS'!$D$8=Parâmetros!$B$3,
           IF(OR(ISBLANK(D82),ISBLANK(F82)),"",
              IF(B82="ALI",IF(L82="L",7,IF(L82="A",10,15)),
                 IF(B82="AIE",IF(L82="L",5,IF(L82="A",7,10)),
                    IF(B82="SE",IF(L82="L",4,IF(L82="A",5,7)),
                       IF(OR(B82="EE",B82="CE"),IF(L82="L",3,IF(L82="A",4,6)),""))))))))),
   IF('Dados da OS'!$D$8=Parâmetros!$B$5,
      IF(OR(AND(B82="INM",N82&lt;&gt;"VF"),AND(N82="VF",B82&lt;&gt;"INM")),"",
         IF(B82="INM",IF(N82="VF",M82*H82,""),
            IF(B82="PE",4.6,
            IF(B82="AL",7,"")))),
   IF('Dados da OS'!$D$8=Parâmetros!$B$6,
      IF(B82="ALI",35,IF(B82="AIE",15,"")),""))
    )
)</f>
        <v/>
      </c>
      <c r="Q82" s="60" t="str">
        <f t="shared" si="13"/>
        <v/>
      </c>
      <c r="R82" s="61"/>
      <c r="S82" s="62"/>
      <c r="T82" s="80" t="s">
        <v>21</v>
      </c>
      <c r="U82" s="81"/>
      <c r="V82" s="99"/>
      <c r="W82" s="55"/>
      <c r="X82" s="55"/>
      <c r="Y82" s="56"/>
      <c r="Z82" s="55"/>
      <c r="AA82" s="56"/>
      <c r="AB82" s="55"/>
      <c r="AC82" s="57" t="str">
        <f t="shared" si="14"/>
        <v/>
      </c>
      <c r="AD82" s="57" t="str">
        <f t="shared" si="15"/>
        <v/>
      </c>
      <c r="AE82" s="57" t="str">
        <f xml:space="preserve">
IF(OR('Dados da OS'!$D$8=Parâmetros!$B$3,'Dados da OS'!$D$8=Parâmetros!$B$4),
  IF(OR(ISBLANK(X82),ISBLANK(Z82)),
     IF(OR(V82="ALI",V82="AIE"),"L",IF(ISBLANK(V82),"","A")),
     IF(V82="EE",IF(Z82&gt;=3,IF(X82&gt;=5,"H","A"),
     IF(Z82&gt;=2,IF(X82&gt;=16,"H",IF(X82&lt;=4,"L","A")),IF(X82&lt;=15,"L","A"))),
     IF(OR(V82="SE",V82="CE"),IF(Z82&gt;=4,IF(X82&gt;=6,"H","A"),IF(Z82&gt;=2,IF(X82&gt;=20,"H",IF(X82&lt;=5,"L","A")),IF(X82&lt;=19,"L","A"))),
     IF(OR(V82="ALI",V82="AIE"),IF(Z82&gt;=6,IF(X82&gt;=20,"H","A"),IF(Z82&gt;=2,IF(X82&gt;=51,"H",IF(X82&lt;=19,"L","A")),IF(X82&lt;=50,"L","A"))))))),
IF('Dados da OS'!$D$8=Parâmetros!$B$6,"Indicativa",
IF('Dados da OS'!$D$8=Parâmetros!$B$5,"PFS","")))</f>
        <v/>
      </c>
      <c r="AF82" s="57">
        <f>IFERROR(VLOOKUP(W82,'Fatores de Impacto e INMs'!$A$3:$D$32,3,0),1)</f>
        <v>1</v>
      </c>
      <c r="AG82" s="57">
        <f>IFERROR(VLOOKUP(W82,'Fatores de Impacto e INMs'!$A$3:$E$32,5,0),1)</f>
        <v>1</v>
      </c>
      <c r="AH82" s="82" t="str">
        <f xml:space="preserve">
IF(OR('Dados da OS'!$D$8="Selecione o tipo da contagem",ISBLANK('Dados da OS'!$D$8),V82="INM",V82="N/A",ISBLANK(V82),ISBLANK(W82),AG82="VF"),"-",
   IF('Dados da OS'!$D$8=Parâmetros!$B$3,
      IF(OR(ISBLANK(X82),ISBLANK(Z82)),"-",
         IF(AE82="L","Baixa",IF(AE82="A","Média",IF(AE82="H","Alta","-")))),
      IF('Dados da OS'!$D$8=Parâmetros!$B$4,
         IF(OR(V82="ALI",V82="AIE"),"Baixa",IF(OR(V82="EE",V82="SE",V82="CE"),"Média","-")),
         IF(OR('Dados da OS'!$D$8=Parâmetros!$B$5,'Dados da OS'!$D$8=Parâmetros!$B$6),"-"))))</f>
        <v>-</v>
      </c>
      <c r="AI82" s="83" t="str">
        <f xml:space="preserve">
IF(OR(ISBLANK(V82),ISBLANK(U82),ISBLANK(W82),V82="N/A",ISBLANK('Dados da OS'!$D$8)),"",
   IF(OR('Dados da OS'!$D$8=Parâmetros!$B$3,'Dados da OS'!$D$8=Parâmetros!$B$4),
      IF(OR(AND(V82="INM",AG82&lt;&gt;"VF"),AND(AG82="VF",V82&lt;&gt;"INM")),"",
        IF(AND(V82="INM",AG82="VF"),IF(ISBLANK(AB82),"",AF82*AB82),
        IF('Dados da OS'!$D$8=Parâmetros!$B$4,
           IF(OR(V82="CE",V82="EE"),4,IF(V82="SE",5,IF(V82="ALI",7,IF(V82="AIE",5,"")))),
        IF('Dados da OS'!$D$8=Parâmetros!$B$3,
           IF(OR(ISBLANK(X82),ISBLANK(Z82)),"",
              IF(V82="ALI",IF(AE82="L",7,IF(AE82="A",10,15)),
                 IF(V82="AIE",IF(AE82="L",5,IF(AE82="A",7,10)),
                    IF(V82="SE",IF(AE82="L",4,IF(AE82="A",5,7)),
                       IF(OR(V82="EE",V82="CE"),IF(AE82="L",3,IF(AE82="A",4,6)),""))))))))),
   IF('Dados da OS'!$D$8=Parâmetros!$B$5,
      IF(OR(AND(V82="INM",AG82&lt;&gt;"VF"),AND(AG82="VF",V82&lt;&gt;"INM")),"",
         IF(V82="INM",IF(AG82="VF",AF82*AB82,""),
            IF(V82="PE",4.6,
            IF(V82="AL",7,"")))),
   IF('Dados da OS'!$D$8=Parâmetros!$B$6,
      IF(V82="ALI",35,IF(V82="AIE",15,"")),""))
    )
)</f>
        <v/>
      </c>
      <c r="AJ82" s="82" t="str">
        <f t="shared" si="16"/>
        <v/>
      </c>
      <c r="AK82" s="84"/>
      <c r="AL82" s="85" t="s">
        <v>21</v>
      </c>
      <c r="AM82" s="86"/>
      <c r="AN82" s="85"/>
      <c r="AO82" s="87"/>
      <c r="AP82" s="85"/>
      <c r="AQ82" s="86"/>
      <c r="AR82" s="85"/>
    </row>
    <row r="83" spans="1:44" ht="15.75" customHeight="1">
      <c r="A83" s="54"/>
      <c r="B83" s="100"/>
      <c r="C83" s="55"/>
      <c r="D83" s="55"/>
      <c r="E83" s="56"/>
      <c r="F83" s="55"/>
      <c r="G83" s="56"/>
      <c r="H83" s="55"/>
      <c r="I83" s="64"/>
      <c r="J83" s="57" t="str">
        <f t="shared" si="11"/>
        <v/>
      </c>
      <c r="K83" s="57" t="str">
        <f t="shared" si="12"/>
        <v/>
      </c>
      <c r="L83" s="57" t="str">
        <f xml:space="preserve">
IF(OR('Dados da OS'!$D$8=Parâmetros!$B$3,'Dados da OS'!$D$8=Parâmetros!$B$4),
  IF(OR(ISBLANK(D83),ISBLANK(F83)),
     IF(OR(B83="ALI",B83="AIE"),"L",IF(ISBLANK(B83),"","A")),
     IF(B83="EE",IF(F83&gt;=3,IF(D83&gt;=5,"H","A"),
     IF(F83&gt;=2,IF(D83&gt;=16,"H",IF(D83&lt;=4,"L","A")),IF(D83&lt;=15,"L","A"))),
     IF(OR(B83="SE",B83="CE"),IF(F83&gt;=4,IF(D83&gt;=6,"H","A"),IF(F83&gt;=2,IF(D83&gt;=20,"H",IF(D83&lt;=5,"L","A")),IF(D83&lt;=19,"L","A"))),
     IF(OR(B83="ALI",B83="AIE"),IF(F83&gt;=6,IF(D83&gt;=20,"H","A"),IF(F83&gt;=2,IF(D83&gt;=51,"H",IF(D83&lt;=19,"L","A")),IF(D83&lt;=50,"L","A"))))))),
IF('Dados da OS'!$D$8=Parâmetros!$B$6,"Indicativa",
IF('Dados da OS'!$D$8=Parâmetros!$B$5,"PFS","")))</f>
        <v/>
      </c>
      <c r="M83" s="57">
        <f>IFERROR(VLOOKUP(C83,'Fatores de Impacto e INMs'!$A$3:$D$32,3,0),1)</f>
        <v>1</v>
      </c>
      <c r="N83" s="57">
        <f>IFERROR(VLOOKUP(C83,'Fatores de Impacto e INMs'!$A$3:$E$32,5,0),1)</f>
        <v>1</v>
      </c>
      <c r="O83" s="63" t="str">
        <f xml:space="preserve">
IF(OR('Dados da OS'!$D$8="Selecione o tipo da contagem",ISBLANK('Dados da OS'!$D$8),B83="INM",B83="N/A",ISBLANK(B83),ISBLANK(C83),N83="VF"),"-",
   IF('Dados da OS'!$D$8=Parâmetros!$B$3,
      IF(OR(ISBLANK(D83),ISBLANK(F83)),"-",
         IF(L83="L","Baixa",IF(L83="A","Média",IF(L83="H","Alta","-")))),
      IF('Dados da OS'!$D$8=Parâmetros!$B$4,
         IF(OR(B83="ALI",B83="AIE"),"Baixa",IF(OR(B83="EE",B83="SE",B83="CE"),"Média","-")),
         IF(OR('Dados da OS'!$D$8=Parâmetros!$B$5,'Dados da OS'!$D$8=Parâmetros!$B$6),"-"))))</f>
        <v>-</v>
      </c>
      <c r="P83" s="59" t="str">
        <f xml:space="preserve">
IF(OR(ISBLANK(B83),ISBLANK(C83),B83="N/A",ISBLANK('Dados da OS'!$D$8)),"",
   IF(OR('Dados da OS'!$D$8=Parâmetros!$B$3,'Dados da OS'!$D$8=Parâmetros!$B$4),
      IF(OR(AND(B83="INM",N83&lt;&gt;"VF"),AND(N83="VF",B83&lt;&gt;"INM")),"",
        IF(AND(B83="INM",N83="VF"),IF(ISBLANK(H83),"",M83*H83),
        IF('Dados da OS'!$D$8=Parâmetros!$B$4,
           IF(OR(B83="CE",B83="EE"),4,IF(B83="SE",5,IF(B83="ALI",7,IF(B83="AIE",5,"")))),
        IF('Dados da OS'!$D$8=Parâmetros!$B$3,
           IF(OR(ISBLANK(D83),ISBLANK(F83)),"",
              IF(B83="ALI",IF(L83="L",7,IF(L83="A",10,15)),
                 IF(B83="AIE",IF(L83="L",5,IF(L83="A",7,10)),
                    IF(B83="SE",IF(L83="L",4,IF(L83="A",5,7)),
                       IF(OR(B83="EE",B83="CE"),IF(L83="L",3,IF(L83="A",4,6)),""))))))))),
   IF('Dados da OS'!$D$8=Parâmetros!$B$5,
      IF(OR(AND(B83="INM",N83&lt;&gt;"VF"),AND(N83="VF",B83&lt;&gt;"INM")),"",
         IF(B83="INM",IF(N83="VF",M83*H83,""),
            IF(B83="PE",4.6,
            IF(B83="AL",7,"")))),
   IF('Dados da OS'!$D$8=Parâmetros!$B$6,
      IF(B83="ALI",35,IF(B83="AIE",15,"")),""))
    )
)</f>
        <v/>
      </c>
      <c r="Q83" s="60" t="str">
        <f t="shared" si="13"/>
        <v/>
      </c>
      <c r="R83" s="61"/>
      <c r="S83" s="62"/>
      <c r="T83" s="80" t="s">
        <v>21</v>
      </c>
      <c r="U83" s="81"/>
      <c r="V83" s="99"/>
      <c r="W83" s="55"/>
      <c r="X83" s="55"/>
      <c r="Y83" s="56"/>
      <c r="Z83" s="55"/>
      <c r="AA83" s="56"/>
      <c r="AB83" s="55"/>
      <c r="AC83" s="57" t="str">
        <f t="shared" si="14"/>
        <v/>
      </c>
      <c r="AD83" s="57" t="str">
        <f t="shared" si="15"/>
        <v/>
      </c>
      <c r="AE83" s="57" t="str">
        <f xml:space="preserve">
IF(OR('Dados da OS'!$D$8=Parâmetros!$B$3,'Dados da OS'!$D$8=Parâmetros!$B$4),
  IF(OR(ISBLANK(X83),ISBLANK(Z83)),
     IF(OR(V83="ALI",V83="AIE"),"L",IF(ISBLANK(V83),"","A")),
     IF(V83="EE",IF(Z83&gt;=3,IF(X83&gt;=5,"H","A"),
     IF(Z83&gt;=2,IF(X83&gt;=16,"H",IF(X83&lt;=4,"L","A")),IF(X83&lt;=15,"L","A"))),
     IF(OR(V83="SE",V83="CE"),IF(Z83&gt;=4,IF(X83&gt;=6,"H","A"),IF(Z83&gt;=2,IF(X83&gt;=20,"H",IF(X83&lt;=5,"L","A")),IF(X83&lt;=19,"L","A"))),
     IF(OR(V83="ALI",V83="AIE"),IF(Z83&gt;=6,IF(X83&gt;=20,"H","A"),IF(Z83&gt;=2,IF(X83&gt;=51,"H",IF(X83&lt;=19,"L","A")),IF(X83&lt;=50,"L","A"))))))),
IF('Dados da OS'!$D$8=Parâmetros!$B$6,"Indicativa",
IF('Dados da OS'!$D$8=Parâmetros!$B$5,"PFS","")))</f>
        <v/>
      </c>
      <c r="AF83" s="57">
        <f>IFERROR(VLOOKUP(W83,'Fatores de Impacto e INMs'!$A$3:$D$32,3,0),1)</f>
        <v>1</v>
      </c>
      <c r="AG83" s="57">
        <f>IFERROR(VLOOKUP(W83,'Fatores de Impacto e INMs'!$A$3:$E$32,5,0),1)</f>
        <v>1</v>
      </c>
      <c r="AH83" s="82" t="str">
        <f xml:space="preserve">
IF(OR('Dados da OS'!$D$8="Selecione o tipo da contagem",ISBLANK('Dados da OS'!$D$8),V83="INM",V83="N/A",ISBLANK(V83),ISBLANK(W83),AG83="VF"),"-",
   IF('Dados da OS'!$D$8=Parâmetros!$B$3,
      IF(OR(ISBLANK(X83),ISBLANK(Z83)),"-",
         IF(AE83="L","Baixa",IF(AE83="A","Média",IF(AE83="H","Alta","-")))),
      IF('Dados da OS'!$D$8=Parâmetros!$B$4,
         IF(OR(V83="ALI",V83="AIE"),"Baixa",IF(OR(V83="EE",V83="SE",V83="CE"),"Média","-")),
         IF(OR('Dados da OS'!$D$8=Parâmetros!$B$5,'Dados da OS'!$D$8=Parâmetros!$B$6),"-"))))</f>
        <v>-</v>
      </c>
      <c r="AI83" s="83" t="str">
        <f xml:space="preserve">
IF(OR(ISBLANK(V83),ISBLANK(U83),ISBLANK(W83),V83="N/A",ISBLANK('Dados da OS'!$D$8)),"",
   IF(OR('Dados da OS'!$D$8=Parâmetros!$B$3,'Dados da OS'!$D$8=Parâmetros!$B$4),
      IF(OR(AND(V83="INM",AG83&lt;&gt;"VF"),AND(AG83="VF",V83&lt;&gt;"INM")),"",
        IF(AND(V83="INM",AG83="VF"),IF(ISBLANK(AB83),"",AF83*AB83),
        IF('Dados da OS'!$D$8=Parâmetros!$B$4,
           IF(OR(V83="CE",V83="EE"),4,IF(V83="SE",5,IF(V83="ALI",7,IF(V83="AIE",5,"")))),
        IF('Dados da OS'!$D$8=Parâmetros!$B$3,
           IF(OR(ISBLANK(X83),ISBLANK(Z83)),"",
              IF(V83="ALI",IF(AE83="L",7,IF(AE83="A",10,15)),
                 IF(V83="AIE",IF(AE83="L",5,IF(AE83="A",7,10)),
                    IF(V83="SE",IF(AE83="L",4,IF(AE83="A",5,7)),
                       IF(OR(V83="EE",V83="CE"),IF(AE83="L",3,IF(AE83="A",4,6)),""))))))))),
   IF('Dados da OS'!$D$8=Parâmetros!$B$5,
      IF(OR(AND(V83="INM",AG83&lt;&gt;"VF"),AND(AG83="VF",V83&lt;&gt;"INM")),"",
         IF(V83="INM",IF(AG83="VF",AF83*AB83,""),
            IF(V83="PE",4.6,
            IF(V83="AL",7,"")))),
   IF('Dados da OS'!$D$8=Parâmetros!$B$6,
      IF(V83="ALI",35,IF(V83="AIE",15,"")),""))
    )
)</f>
        <v/>
      </c>
      <c r="AJ83" s="82" t="str">
        <f t="shared" si="16"/>
        <v/>
      </c>
      <c r="AK83" s="84"/>
      <c r="AL83" s="85" t="s">
        <v>21</v>
      </c>
      <c r="AM83" s="86"/>
      <c r="AN83" s="85"/>
      <c r="AO83" s="87"/>
      <c r="AP83" s="85"/>
      <c r="AQ83" s="86"/>
      <c r="AR83" s="85"/>
    </row>
    <row r="84" spans="1:44" ht="15.75" customHeight="1">
      <c r="A84" s="54"/>
      <c r="B84" s="100"/>
      <c r="C84" s="55"/>
      <c r="D84" s="55"/>
      <c r="E84" s="56"/>
      <c r="F84" s="55"/>
      <c r="G84" s="56"/>
      <c r="H84" s="55"/>
      <c r="I84" s="64"/>
      <c r="J84" s="57" t="str">
        <f t="shared" si="11"/>
        <v/>
      </c>
      <c r="K84" s="57" t="str">
        <f t="shared" si="12"/>
        <v/>
      </c>
      <c r="L84" s="57" t="str">
        <f xml:space="preserve">
IF(OR('Dados da OS'!$D$8=Parâmetros!$B$3,'Dados da OS'!$D$8=Parâmetros!$B$4),
  IF(OR(ISBLANK(D84),ISBLANK(F84)),
     IF(OR(B84="ALI",B84="AIE"),"L",IF(ISBLANK(B84),"","A")),
     IF(B84="EE",IF(F84&gt;=3,IF(D84&gt;=5,"H","A"),
     IF(F84&gt;=2,IF(D84&gt;=16,"H",IF(D84&lt;=4,"L","A")),IF(D84&lt;=15,"L","A"))),
     IF(OR(B84="SE",B84="CE"),IF(F84&gt;=4,IF(D84&gt;=6,"H","A"),IF(F84&gt;=2,IF(D84&gt;=20,"H",IF(D84&lt;=5,"L","A")),IF(D84&lt;=19,"L","A"))),
     IF(OR(B84="ALI",B84="AIE"),IF(F84&gt;=6,IF(D84&gt;=20,"H","A"),IF(F84&gt;=2,IF(D84&gt;=51,"H",IF(D84&lt;=19,"L","A")),IF(D84&lt;=50,"L","A"))))))),
IF('Dados da OS'!$D$8=Parâmetros!$B$6,"Indicativa",
IF('Dados da OS'!$D$8=Parâmetros!$B$5,"PFS","")))</f>
        <v/>
      </c>
      <c r="M84" s="57">
        <f>IFERROR(VLOOKUP(C84,'Fatores de Impacto e INMs'!$A$3:$D$32,3,0),1)</f>
        <v>1</v>
      </c>
      <c r="N84" s="57">
        <f>IFERROR(VLOOKUP(C84,'Fatores de Impacto e INMs'!$A$3:$E$32,5,0),1)</f>
        <v>1</v>
      </c>
      <c r="O84" s="63" t="str">
        <f xml:space="preserve">
IF(OR('Dados da OS'!$D$8="Selecione o tipo da contagem",ISBLANK('Dados da OS'!$D$8),B84="INM",B84="N/A",ISBLANK(B84),ISBLANK(C84),N84="VF"),"-",
   IF('Dados da OS'!$D$8=Parâmetros!$B$3,
      IF(OR(ISBLANK(D84),ISBLANK(F84)),"-",
         IF(L84="L","Baixa",IF(L84="A","Média",IF(L84="H","Alta","-")))),
      IF('Dados da OS'!$D$8=Parâmetros!$B$4,
         IF(OR(B84="ALI",B84="AIE"),"Baixa",IF(OR(B84="EE",B84="SE",B84="CE"),"Média","-")),
         IF(OR('Dados da OS'!$D$8=Parâmetros!$B$5,'Dados da OS'!$D$8=Parâmetros!$B$6),"-"))))</f>
        <v>-</v>
      </c>
      <c r="P84" s="59" t="str">
        <f xml:space="preserve">
IF(OR(ISBLANK(B84),ISBLANK(C84),B84="N/A",ISBLANK('Dados da OS'!$D$8)),"",
   IF(OR('Dados da OS'!$D$8=Parâmetros!$B$3,'Dados da OS'!$D$8=Parâmetros!$B$4),
      IF(OR(AND(B84="INM",N84&lt;&gt;"VF"),AND(N84="VF",B84&lt;&gt;"INM")),"",
        IF(AND(B84="INM",N84="VF"),IF(ISBLANK(H84),"",M84*H84),
        IF('Dados da OS'!$D$8=Parâmetros!$B$4,
           IF(OR(B84="CE",B84="EE"),4,IF(B84="SE",5,IF(B84="ALI",7,IF(B84="AIE",5,"")))),
        IF('Dados da OS'!$D$8=Parâmetros!$B$3,
           IF(OR(ISBLANK(D84),ISBLANK(F84)),"",
              IF(B84="ALI",IF(L84="L",7,IF(L84="A",10,15)),
                 IF(B84="AIE",IF(L84="L",5,IF(L84="A",7,10)),
                    IF(B84="SE",IF(L84="L",4,IF(L84="A",5,7)),
                       IF(OR(B84="EE",B84="CE"),IF(L84="L",3,IF(L84="A",4,6)),""))))))))),
   IF('Dados da OS'!$D$8=Parâmetros!$B$5,
      IF(OR(AND(B84="INM",N84&lt;&gt;"VF"),AND(N84="VF",B84&lt;&gt;"INM")),"",
         IF(B84="INM",IF(N84="VF",M84*H84,""),
            IF(B84="PE",4.6,
            IF(B84="AL",7,"")))),
   IF('Dados da OS'!$D$8=Parâmetros!$B$6,
      IF(B84="ALI",35,IF(B84="AIE",15,"")),""))
    )
)</f>
        <v/>
      </c>
      <c r="Q84" s="60" t="str">
        <f t="shared" si="13"/>
        <v/>
      </c>
      <c r="R84" s="61"/>
      <c r="S84" s="62"/>
      <c r="T84" s="80" t="s">
        <v>21</v>
      </c>
      <c r="U84" s="81"/>
      <c r="V84" s="99"/>
      <c r="W84" s="55"/>
      <c r="X84" s="55"/>
      <c r="Y84" s="56"/>
      <c r="Z84" s="55"/>
      <c r="AA84" s="56"/>
      <c r="AB84" s="55"/>
      <c r="AC84" s="57" t="str">
        <f t="shared" si="14"/>
        <v/>
      </c>
      <c r="AD84" s="57" t="str">
        <f t="shared" si="15"/>
        <v/>
      </c>
      <c r="AE84" s="57" t="str">
        <f xml:space="preserve">
IF(OR('Dados da OS'!$D$8=Parâmetros!$B$3,'Dados da OS'!$D$8=Parâmetros!$B$4),
  IF(OR(ISBLANK(X84),ISBLANK(Z84)),
     IF(OR(V84="ALI",V84="AIE"),"L",IF(ISBLANK(V84),"","A")),
     IF(V84="EE",IF(Z84&gt;=3,IF(X84&gt;=5,"H","A"),
     IF(Z84&gt;=2,IF(X84&gt;=16,"H",IF(X84&lt;=4,"L","A")),IF(X84&lt;=15,"L","A"))),
     IF(OR(V84="SE",V84="CE"),IF(Z84&gt;=4,IF(X84&gt;=6,"H","A"),IF(Z84&gt;=2,IF(X84&gt;=20,"H",IF(X84&lt;=5,"L","A")),IF(X84&lt;=19,"L","A"))),
     IF(OR(V84="ALI",V84="AIE"),IF(Z84&gt;=6,IF(X84&gt;=20,"H","A"),IF(Z84&gt;=2,IF(X84&gt;=51,"H",IF(X84&lt;=19,"L","A")),IF(X84&lt;=50,"L","A"))))))),
IF('Dados da OS'!$D$8=Parâmetros!$B$6,"Indicativa",
IF('Dados da OS'!$D$8=Parâmetros!$B$5,"PFS","")))</f>
        <v/>
      </c>
      <c r="AF84" s="57">
        <f>IFERROR(VLOOKUP(W84,'Fatores de Impacto e INMs'!$A$3:$D$32,3,0),1)</f>
        <v>1</v>
      </c>
      <c r="AG84" s="57">
        <f>IFERROR(VLOOKUP(W84,'Fatores de Impacto e INMs'!$A$3:$E$32,5,0),1)</f>
        <v>1</v>
      </c>
      <c r="AH84" s="82" t="str">
        <f xml:space="preserve">
IF(OR('Dados da OS'!$D$8="Selecione o tipo da contagem",ISBLANK('Dados da OS'!$D$8),V84="INM",V84="N/A",ISBLANK(V84),ISBLANK(W84),AG84="VF"),"-",
   IF('Dados da OS'!$D$8=Parâmetros!$B$3,
      IF(OR(ISBLANK(X84),ISBLANK(Z84)),"-",
         IF(AE84="L","Baixa",IF(AE84="A","Média",IF(AE84="H","Alta","-")))),
      IF('Dados da OS'!$D$8=Parâmetros!$B$4,
         IF(OR(V84="ALI",V84="AIE"),"Baixa",IF(OR(V84="EE",V84="SE",V84="CE"),"Média","-")),
         IF(OR('Dados da OS'!$D$8=Parâmetros!$B$5,'Dados da OS'!$D$8=Parâmetros!$B$6),"-"))))</f>
        <v>-</v>
      </c>
      <c r="AI84" s="83" t="str">
        <f xml:space="preserve">
IF(OR(ISBLANK(V84),ISBLANK(U84),ISBLANK(W84),V84="N/A",ISBLANK('Dados da OS'!$D$8)),"",
   IF(OR('Dados da OS'!$D$8=Parâmetros!$B$3,'Dados da OS'!$D$8=Parâmetros!$B$4),
      IF(OR(AND(V84="INM",AG84&lt;&gt;"VF"),AND(AG84="VF",V84&lt;&gt;"INM")),"",
        IF(AND(V84="INM",AG84="VF"),IF(ISBLANK(AB84),"",AF84*AB84),
        IF('Dados da OS'!$D$8=Parâmetros!$B$4,
           IF(OR(V84="CE",V84="EE"),4,IF(V84="SE",5,IF(V84="ALI",7,IF(V84="AIE",5,"")))),
        IF('Dados da OS'!$D$8=Parâmetros!$B$3,
           IF(OR(ISBLANK(X84),ISBLANK(Z84)),"",
              IF(V84="ALI",IF(AE84="L",7,IF(AE84="A",10,15)),
                 IF(V84="AIE",IF(AE84="L",5,IF(AE84="A",7,10)),
                    IF(V84="SE",IF(AE84="L",4,IF(AE84="A",5,7)),
                       IF(OR(V84="EE",V84="CE"),IF(AE84="L",3,IF(AE84="A",4,6)),""))))))))),
   IF('Dados da OS'!$D$8=Parâmetros!$B$5,
      IF(OR(AND(V84="INM",AG84&lt;&gt;"VF"),AND(AG84="VF",V84&lt;&gt;"INM")),"",
         IF(V84="INM",IF(AG84="VF",AF84*AB84,""),
            IF(V84="PE",4.6,
            IF(V84="AL",7,"")))),
   IF('Dados da OS'!$D$8=Parâmetros!$B$6,
      IF(V84="ALI",35,IF(V84="AIE",15,"")),""))
    )
)</f>
        <v/>
      </c>
      <c r="AJ84" s="82" t="str">
        <f t="shared" si="16"/>
        <v/>
      </c>
      <c r="AK84" s="84"/>
      <c r="AL84" s="85" t="s">
        <v>21</v>
      </c>
      <c r="AM84" s="86"/>
      <c r="AN84" s="85"/>
      <c r="AO84" s="87"/>
      <c r="AP84" s="85"/>
      <c r="AQ84" s="86"/>
      <c r="AR84" s="85"/>
    </row>
    <row r="85" spans="1:44" ht="15.75" customHeight="1">
      <c r="A85" s="54"/>
      <c r="B85" s="100"/>
      <c r="C85" s="55"/>
      <c r="D85" s="55"/>
      <c r="E85" s="56"/>
      <c r="F85" s="55"/>
      <c r="G85" s="56"/>
      <c r="H85" s="55"/>
      <c r="I85" s="64"/>
      <c r="J85" s="57" t="str">
        <f t="shared" si="11"/>
        <v/>
      </c>
      <c r="K85" s="57" t="str">
        <f t="shared" si="12"/>
        <v/>
      </c>
      <c r="L85" s="57" t="str">
        <f xml:space="preserve">
IF(OR('Dados da OS'!$D$8=Parâmetros!$B$3,'Dados da OS'!$D$8=Parâmetros!$B$4),
  IF(OR(ISBLANK(D85),ISBLANK(F85)),
     IF(OR(B85="ALI",B85="AIE"),"L",IF(ISBLANK(B85),"","A")),
     IF(B85="EE",IF(F85&gt;=3,IF(D85&gt;=5,"H","A"),
     IF(F85&gt;=2,IF(D85&gt;=16,"H",IF(D85&lt;=4,"L","A")),IF(D85&lt;=15,"L","A"))),
     IF(OR(B85="SE",B85="CE"),IF(F85&gt;=4,IF(D85&gt;=6,"H","A"),IF(F85&gt;=2,IF(D85&gt;=20,"H",IF(D85&lt;=5,"L","A")),IF(D85&lt;=19,"L","A"))),
     IF(OR(B85="ALI",B85="AIE"),IF(F85&gt;=6,IF(D85&gt;=20,"H","A"),IF(F85&gt;=2,IF(D85&gt;=51,"H",IF(D85&lt;=19,"L","A")),IF(D85&lt;=50,"L","A"))))))),
IF('Dados da OS'!$D$8=Parâmetros!$B$6,"Indicativa",
IF('Dados da OS'!$D$8=Parâmetros!$B$5,"PFS","")))</f>
        <v/>
      </c>
      <c r="M85" s="57">
        <f>IFERROR(VLOOKUP(C85,'Fatores de Impacto e INMs'!$A$3:$D$32,3,0),1)</f>
        <v>1</v>
      </c>
      <c r="N85" s="57">
        <f>IFERROR(VLOOKUP(C85,'Fatores de Impacto e INMs'!$A$3:$E$32,5,0),1)</f>
        <v>1</v>
      </c>
      <c r="O85" s="63" t="str">
        <f xml:space="preserve">
IF(OR('Dados da OS'!$D$8="Selecione o tipo da contagem",ISBLANK('Dados da OS'!$D$8),B85="INM",B85="N/A",ISBLANK(B85),ISBLANK(C85),N85="VF"),"-",
   IF('Dados da OS'!$D$8=Parâmetros!$B$3,
      IF(OR(ISBLANK(D85),ISBLANK(F85)),"-",
         IF(L85="L","Baixa",IF(L85="A","Média",IF(L85="H","Alta","-")))),
      IF('Dados da OS'!$D$8=Parâmetros!$B$4,
         IF(OR(B85="ALI",B85="AIE"),"Baixa",IF(OR(B85="EE",B85="SE",B85="CE"),"Média","-")),
         IF(OR('Dados da OS'!$D$8=Parâmetros!$B$5,'Dados da OS'!$D$8=Parâmetros!$B$6),"-"))))</f>
        <v>-</v>
      </c>
      <c r="P85" s="59" t="str">
        <f xml:space="preserve">
IF(OR(ISBLANK(B85),ISBLANK(C85),B85="N/A",ISBLANK('Dados da OS'!$D$8)),"",
   IF(OR('Dados da OS'!$D$8=Parâmetros!$B$3,'Dados da OS'!$D$8=Parâmetros!$B$4),
      IF(OR(AND(B85="INM",N85&lt;&gt;"VF"),AND(N85="VF",B85&lt;&gt;"INM")),"",
        IF(AND(B85="INM",N85="VF"),IF(ISBLANK(H85),"",M85*H85),
        IF('Dados da OS'!$D$8=Parâmetros!$B$4,
           IF(OR(B85="CE",B85="EE"),4,IF(B85="SE",5,IF(B85="ALI",7,IF(B85="AIE",5,"")))),
        IF('Dados da OS'!$D$8=Parâmetros!$B$3,
           IF(OR(ISBLANK(D85),ISBLANK(F85)),"",
              IF(B85="ALI",IF(L85="L",7,IF(L85="A",10,15)),
                 IF(B85="AIE",IF(L85="L",5,IF(L85="A",7,10)),
                    IF(B85="SE",IF(L85="L",4,IF(L85="A",5,7)),
                       IF(OR(B85="EE",B85="CE"),IF(L85="L",3,IF(L85="A",4,6)),""))))))))),
   IF('Dados da OS'!$D$8=Parâmetros!$B$5,
      IF(OR(AND(B85="INM",N85&lt;&gt;"VF"),AND(N85="VF",B85&lt;&gt;"INM")),"",
         IF(B85="INM",IF(N85="VF",M85*H85,""),
            IF(B85="PE",4.6,
            IF(B85="AL",7,"")))),
   IF('Dados da OS'!$D$8=Parâmetros!$B$6,
      IF(B85="ALI",35,IF(B85="AIE",15,"")),""))
    )
)</f>
        <v/>
      </c>
      <c r="Q85" s="60" t="str">
        <f t="shared" si="13"/>
        <v/>
      </c>
      <c r="R85" s="61"/>
      <c r="S85" s="62"/>
      <c r="T85" s="80" t="s">
        <v>21</v>
      </c>
      <c r="U85" s="81"/>
      <c r="V85" s="99"/>
      <c r="W85" s="55"/>
      <c r="X85" s="55"/>
      <c r="Y85" s="56"/>
      <c r="Z85" s="55"/>
      <c r="AA85" s="56"/>
      <c r="AB85" s="55"/>
      <c r="AC85" s="57" t="str">
        <f t="shared" si="14"/>
        <v/>
      </c>
      <c r="AD85" s="57" t="str">
        <f t="shared" si="15"/>
        <v/>
      </c>
      <c r="AE85" s="57" t="str">
        <f xml:space="preserve">
IF(OR('Dados da OS'!$D$8=Parâmetros!$B$3,'Dados da OS'!$D$8=Parâmetros!$B$4),
  IF(OR(ISBLANK(X85),ISBLANK(Z85)),
     IF(OR(V85="ALI",V85="AIE"),"L",IF(ISBLANK(V85),"","A")),
     IF(V85="EE",IF(Z85&gt;=3,IF(X85&gt;=5,"H","A"),
     IF(Z85&gt;=2,IF(X85&gt;=16,"H",IF(X85&lt;=4,"L","A")),IF(X85&lt;=15,"L","A"))),
     IF(OR(V85="SE",V85="CE"),IF(Z85&gt;=4,IF(X85&gt;=6,"H","A"),IF(Z85&gt;=2,IF(X85&gt;=20,"H",IF(X85&lt;=5,"L","A")),IF(X85&lt;=19,"L","A"))),
     IF(OR(V85="ALI",V85="AIE"),IF(Z85&gt;=6,IF(X85&gt;=20,"H","A"),IF(Z85&gt;=2,IF(X85&gt;=51,"H",IF(X85&lt;=19,"L","A")),IF(X85&lt;=50,"L","A"))))))),
IF('Dados da OS'!$D$8=Parâmetros!$B$6,"Indicativa",
IF('Dados da OS'!$D$8=Parâmetros!$B$5,"PFS","")))</f>
        <v/>
      </c>
      <c r="AF85" s="57">
        <f>IFERROR(VLOOKUP(W85,'Fatores de Impacto e INMs'!$A$3:$D$32,3,0),1)</f>
        <v>1</v>
      </c>
      <c r="AG85" s="57">
        <f>IFERROR(VLOOKUP(W85,'Fatores de Impacto e INMs'!$A$3:$E$32,5,0),1)</f>
        <v>1</v>
      </c>
      <c r="AH85" s="82" t="str">
        <f xml:space="preserve">
IF(OR('Dados da OS'!$D$8="Selecione o tipo da contagem",ISBLANK('Dados da OS'!$D$8),V85="INM",V85="N/A",ISBLANK(V85),ISBLANK(W85),AG85="VF"),"-",
   IF('Dados da OS'!$D$8=Parâmetros!$B$3,
      IF(OR(ISBLANK(X85),ISBLANK(Z85)),"-",
         IF(AE85="L","Baixa",IF(AE85="A","Média",IF(AE85="H","Alta","-")))),
      IF('Dados da OS'!$D$8=Parâmetros!$B$4,
         IF(OR(V85="ALI",V85="AIE"),"Baixa",IF(OR(V85="EE",V85="SE",V85="CE"),"Média","-")),
         IF(OR('Dados da OS'!$D$8=Parâmetros!$B$5,'Dados da OS'!$D$8=Parâmetros!$B$6),"-"))))</f>
        <v>-</v>
      </c>
      <c r="AI85" s="83" t="str">
        <f xml:space="preserve">
IF(OR(ISBLANK(V85),ISBLANK(U85),ISBLANK(W85),V85="N/A",ISBLANK('Dados da OS'!$D$8)),"",
   IF(OR('Dados da OS'!$D$8=Parâmetros!$B$3,'Dados da OS'!$D$8=Parâmetros!$B$4),
      IF(OR(AND(V85="INM",AG85&lt;&gt;"VF"),AND(AG85="VF",V85&lt;&gt;"INM")),"",
        IF(AND(V85="INM",AG85="VF"),IF(ISBLANK(AB85),"",AF85*AB85),
        IF('Dados da OS'!$D$8=Parâmetros!$B$4,
           IF(OR(V85="CE",V85="EE"),4,IF(V85="SE",5,IF(V85="ALI",7,IF(V85="AIE",5,"")))),
        IF('Dados da OS'!$D$8=Parâmetros!$B$3,
           IF(OR(ISBLANK(X85),ISBLANK(Z85)),"",
              IF(V85="ALI",IF(AE85="L",7,IF(AE85="A",10,15)),
                 IF(V85="AIE",IF(AE85="L",5,IF(AE85="A",7,10)),
                    IF(V85="SE",IF(AE85="L",4,IF(AE85="A",5,7)),
                       IF(OR(V85="EE",V85="CE"),IF(AE85="L",3,IF(AE85="A",4,6)),""))))))))),
   IF('Dados da OS'!$D$8=Parâmetros!$B$5,
      IF(OR(AND(V85="INM",AG85&lt;&gt;"VF"),AND(AG85="VF",V85&lt;&gt;"INM")),"",
         IF(V85="INM",IF(AG85="VF",AF85*AB85,""),
            IF(V85="PE",4.6,
            IF(V85="AL",7,"")))),
   IF('Dados da OS'!$D$8=Parâmetros!$B$6,
      IF(V85="ALI",35,IF(V85="AIE",15,"")),""))
    )
)</f>
        <v/>
      </c>
      <c r="AJ85" s="82" t="str">
        <f t="shared" si="16"/>
        <v/>
      </c>
      <c r="AK85" s="84"/>
      <c r="AL85" s="85" t="s">
        <v>21</v>
      </c>
      <c r="AM85" s="86"/>
      <c r="AN85" s="85"/>
      <c r="AO85" s="87"/>
      <c r="AP85" s="85"/>
      <c r="AQ85" s="86"/>
      <c r="AR85" s="85"/>
    </row>
    <row r="86" spans="1:44" ht="15.75" customHeight="1">
      <c r="A86" s="54"/>
      <c r="B86" s="100"/>
      <c r="C86" s="55"/>
      <c r="D86" s="55"/>
      <c r="E86" s="56"/>
      <c r="F86" s="55"/>
      <c r="G86" s="56"/>
      <c r="H86" s="55"/>
      <c r="I86" s="64"/>
      <c r="J86" s="57" t="str">
        <f t="shared" si="11"/>
        <v/>
      </c>
      <c r="K86" s="57" t="str">
        <f t="shared" si="12"/>
        <v/>
      </c>
      <c r="L86" s="57" t="str">
        <f xml:space="preserve">
IF(OR('Dados da OS'!$D$8=Parâmetros!$B$3,'Dados da OS'!$D$8=Parâmetros!$B$4),
  IF(OR(ISBLANK(D86),ISBLANK(F86)),
     IF(OR(B86="ALI",B86="AIE"),"L",IF(ISBLANK(B86),"","A")),
     IF(B86="EE",IF(F86&gt;=3,IF(D86&gt;=5,"H","A"),
     IF(F86&gt;=2,IF(D86&gt;=16,"H",IF(D86&lt;=4,"L","A")),IF(D86&lt;=15,"L","A"))),
     IF(OR(B86="SE",B86="CE"),IF(F86&gt;=4,IF(D86&gt;=6,"H","A"),IF(F86&gt;=2,IF(D86&gt;=20,"H",IF(D86&lt;=5,"L","A")),IF(D86&lt;=19,"L","A"))),
     IF(OR(B86="ALI",B86="AIE"),IF(F86&gt;=6,IF(D86&gt;=20,"H","A"),IF(F86&gt;=2,IF(D86&gt;=51,"H",IF(D86&lt;=19,"L","A")),IF(D86&lt;=50,"L","A"))))))),
IF('Dados da OS'!$D$8=Parâmetros!$B$6,"Indicativa",
IF('Dados da OS'!$D$8=Parâmetros!$B$5,"PFS","")))</f>
        <v/>
      </c>
      <c r="M86" s="57">
        <f>IFERROR(VLOOKUP(C86,'Fatores de Impacto e INMs'!$A$3:$D$32,3,0),1)</f>
        <v>1</v>
      </c>
      <c r="N86" s="57">
        <f>IFERROR(VLOOKUP(C86,'Fatores de Impacto e INMs'!$A$3:$E$32,5,0),1)</f>
        <v>1</v>
      </c>
      <c r="O86" s="63" t="str">
        <f xml:space="preserve">
IF(OR('Dados da OS'!$D$8="Selecione o tipo da contagem",ISBLANK('Dados da OS'!$D$8),B86="INM",B86="N/A",ISBLANK(B86),ISBLANK(C86),N86="VF"),"-",
   IF('Dados da OS'!$D$8=Parâmetros!$B$3,
      IF(OR(ISBLANK(D86),ISBLANK(F86)),"-",
         IF(L86="L","Baixa",IF(L86="A","Média",IF(L86="H","Alta","-")))),
      IF('Dados da OS'!$D$8=Parâmetros!$B$4,
         IF(OR(B86="ALI",B86="AIE"),"Baixa",IF(OR(B86="EE",B86="SE",B86="CE"),"Média","-")),
         IF(OR('Dados da OS'!$D$8=Parâmetros!$B$5,'Dados da OS'!$D$8=Parâmetros!$B$6),"-"))))</f>
        <v>-</v>
      </c>
      <c r="P86" s="59" t="str">
        <f xml:space="preserve">
IF(OR(ISBLANK(B86),ISBLANK(C86),B86="N/A",ISBLANK('Dados da OS'!$D$8)),"",
   IF(OR('Dados da OS'!$D$8=Parâmetros!$B$3,'Dados da OS'!$D$8=Parâmetros!$B$4),
      IF(OR(AND(B86="INM",N86&lt;&gt;"VF"),AND(N86="VF",B86&lt;&gt;"INM")),"",
        IF(AND(B86="INM",N86="VF"),IF(ISBLANK(H86),"",M86*H86),
        IF('Dados da OS'!$D$8=Parâmetros!$B$4,
           IF(OR(B86="CE",B86="EE"),4,IF(B86="SE",5,IF(B86="ALI",7,IF(B86="AIE",5,"")))),
        IF('Dados da OS'!$D$8=Parâmetros!$B$3,
           IF(OR(ISBLANK(D86),ISBLANK(F86)),"",
              IF(B86="ALI",IF(L86="L",7,IF(L86="A",10,15)),
                 IF(B86="AIE",IF(L86="L",5,IF(L86="A",7,10)),
                    IF(B86="SE",IF(L86="L",4,IF(L86="A",5,7)),
                       IF(OR(B86="EE",B86="CE"),IF(L86="L",3,IF(L86="A",4,6)),""))))))))),
   IF('Dados da OS'!$D$8=Parâmetros!$B$5,
      IF(OR(AND(B86="INM",N86&lt;&gt;"VF"),AND(N86="VF",B86&lt;&gt;"INM")),"",
         IF(B86="INM",IF(N86="VF",M86*H86,""),
            IF(B86="PE",4.6,
            IF(B86="AL",7,"")))),
   IF('Dados da OS'!$D$8=Parâmetros!$B$6,
      IF(B86="ALI",35,IF(B86="AIE",15,"")),""))
    )
)</f>
        <v/>
      </c>
      <c r="Q86" s="60" t="str">
        <f t="shared" si="13"/>
        <v/>
      </c>
      <c r="R86" s="61"/>
      <c r="S86" s="62"/>
      <c r="T86" s="80" t="s">
        <v>21</v>
      </c>
      <c r="U86" s="81"/>
      <c r="V86" s="99"/>
      <c r="W86" s="55"/>
      <c r="X86" s="55"/>
      <c r="Y86" s="56"/>
      <c r="Z86" s="55"/>
      <c r="AA86" s="56"/>
      <c r="AB86" s="55"/>
      <c r="AC86" s="57" t="str">
        <f t="shared" si="14"/>
        <v/>
      </c>
      <c r="AD86" s="57" t="str">
        <f t="shared" si="15"/>
        <v/>
      </c>
      <c r="AE86" s="57" t="str">
        <f xml:space="preserve">
IF(OR('Dados da OS'!$D$8=Parâmetros!$B$3,'Dados da OS'!$D$8=Parâmetros!$B$4),
  IF(OR(ISBLANK(X86),ISBLANK(Z86)),
     IF(OR(V86="ALI",V86="AIE"),"L",IF(ISBLANK(V86),"","A")),
     IF(V86="EE",IF(Z86&gt;=3,IF(X86&gt;=5,"H","A"),
     IF(Z86&gt;=2,IF(X86&gt;=16,"H",IF(X86&lt;=4,"L","A")),IF(X86&lt;=15,"L","A"))),
     IF(OR(V86="SE",V86="CE"),IF(Z86&gt;=4,IF(X86&gt;=6,"H","A"),IF(Z86&gt;=2,IF(X86&gt;=20,"H",IF(X86&lt;=5,"L","A")),IF(X86&lt;=19,"L","A"))),
     IF(OR(V86="ALI",V86="AIE"),IF(Z86&gt;=6,IF(X86&gt;=20,"H","A"),IF(Z86&gt;=2,IF(X86&gt;=51,"H",IF(X86&lt;=19,"L","A")),IF(X86&lt;=50,"L","A"))))))),
IF('Dados da OS'!$D$8=Parâmetros!$B$6,"Indicativa",
IF('Dados da OS'!$D$8=Parâmetros!$B$5,"PFS","")))</f>
        <v/>
      </c>
      <c r="AF86" s="57">
        <f>IFERROR(VLOOKUP(W86,'Fatores de Impacto e INMs'!$A$3:$D$32,3,0),1)</f>
        <v>1</v>
      </c>
      <c r="AG86" s="57">
        <f>IFERROR(VLOOKUP(W86,'Fatores de Impacto e INMs'!$A$3:$E$32,5,0),1)</f>
        <v>1</v>
      </c>
      <c r="AH86" s="82" t="str">
        <f xml:space="preserve">
IF(OR('Dados da OS'!$D$8="Selecione o tipo da contagem",ISBLANK('Dados da OS'!$D$8),V86="INM",V86="N/A",ISBLANK(V86),ISBLANK(W86),AG86="VF"),"-",
   IF('Dados da OS'!$D$8=Parâmetros!$B$3,
      IF(OR(ISBLANK(X86),ISBLANK(Z86)),"-",
         IF(AE86="L","Baixa",IF(AE86="A","Média",IF(AE86="H","Alta","-")))),
      IF('Dados da OS'!$D$8=Parâmetros!$B$4,
         IF(OR(V86="ALI",V86="AIE"),"Baixa",IF(OR(V86="EE",V86="SE",V86="CE"),"Média","-")),
         IF(OR('Dados da OS'!$D$8=Parâmetros!$B$5,'Dados da OS'!$D$8=Parâmetros!$B$6),"-"))))</f>
        <v>-</v>
      </c>
      <c r="AI86" s="83" t="str">
        <f xml:space="preserve">
IF(OR(ISBLANK(V86),ISBLANK(U86),ISBLANK(W86),V86="N/A",ISBLANK('Dados da OS'!$D$8)),"",
   IF(OR('Dados da OS'!$D$8=Parâmetros!$B$3,'Dados da OS'!$D$8=Parâmetros!$B$4),
      IF(OR(AND(V86="INM",AG86&lt;&gt;"VF"),AND(AG86="VF",V86&lt;&gt;"INM")),"",
        IF(AND(V86="INM",AG86="VF"),IF(ISBLANK(AB86),"",AF86*AB86),
        IF('Dados da OS'!$D$8=Parâmetros!$B$4,
           IF(OR(V86="CE",V86="EE"),4,IF(V86="SE",5,IF(V86="ALI",7,IF(V86="AIE",5,"")))),
        IF('Dados da OS'!$D$8=Parâmetros!$B$3,
           IF(OR(ISBLANK(X86),ISBLANK(Z86)),"",
              IF(V86="ALI",IF(AE86="L",7,IF(AE86="A",10,15)),
                 IF(V86="AIE",IF(AE86="L",5,IF(AE86="A",7,10)),
                    IF(V86="SE",IF(AE86="L",4,IF(AE86="A",5,7)),
                       IF(OR(V86="EE",V86="CE"),IF(AE86="L",3,IF(AE86="A",4,6)),""))))))))),
   IF('Dados da OS'!$D$8=Parâmetros!$B$5,
      IF(OR(AND(V86="INM",AG86&lt;&gt;"VF"),AND(AG86="VF",V86&lt;&gt;"INM")),"",
         IF(V86="INM",IF(AG86="VF",AF86*AB86,""),
            IF(V86="PE",4.6,
            IF(V86="AL",7,"")))),
   IF('Dados da OS'!$D$8=Parâmetros!$B$6,
      IF(V86="ALI",35,IF(V86="AIE",15,"")),""))
    )
)</f>
        <v/>
      </c>
      <c r="AJ86" s="82" t="str">
        <f t="shared" si="16"/>
        <v/>
      </c>
      <c r="AK86" s="84"/>
      <c r="AL86" s="85" t="s">
        <v>21</v>
      </c>
      <c r="AM86" s="86"/>
      <c r="AN86" s="85"/>
      <c r="AO86" s="87"/>
      <c r="AP86" s="85"/>
      <c r="AQ86" s="86"/>
      <c r="AR86" s="85"/>
    </row>
    <row r="87" spans="1:44" ht="15.75" customHeight="1">
      <c r="A87" s="54"/>
      <c r="B87" s="100"/>
      <c r="C87" s="55"/>
      <c r="D87" s="55"/>
      <c r="E87" s="56"/>
      <c r="F87" s="55"/>
      <c r="G87" s="56"/>
      <c r="H87" s="55"/>
      <c r="I87" s="64"/>
      <c r="J87" s="57" t="str">
        <f t="shared" si="11"/>
        <v/>
      </c>
      <c r="K87" s="57" t="str">
        <f t="shared" si="12"/>
        <v/>
      </c>
      <c r="L87" s="57" t="str">
        <f xml:space="preserve">
IF(OR('Dados da OS'!$D$8=Parâmetros!$B$3,'Dados da OS'!$D$8=Parâmetros!$B$4),
  IF(OR(ISBLANK(D87),ISBLANK(F87)),
     IF(OR(B87="ALI",B87="AIE"),"L",IF(ISBLANK(B87),"","A")),
     IF(B87="EE",IF(F87&gt;=3,IF(D87&gt;=5,"H","A"),
     IF(F87&gt;=2,IF(D87&gt;=16,"H",IF(D87&lt;=4,"L","A")),IF(D87&lt;=15,"L","A"))),
     IF(OR(B87="SE",B87="CE"),IF(F87&gt;=4,IF(D87&gt;=6,"H","A"),IF(F87&gt;=2,IF(D87&gt;=20,"H",IF(D87&lt;=5,"L","A")),IF(D87&lt;=19,"L","A"))),
     IF(OR(B87="ALI",B87="AIE"),IF(F87&gt;=6,IF(D87&gt;=20,"H","A"),IF(F87&gt;=2,IF(D87&gt;=51,"H",IF(D87&lt;=19,"L","A")),IF(D87&lt;=50,"L","A"))))))),
IF('Dados da OS'!$D$8=Parâmetros!$B$6,"Indicativa",
IF('Dados da OS'!$D$8=Parâmetros!$B$5,"PFS","")))</f>
        <v/>
      </c>
      <c r="M87" s="57">
        <f>IFERROR(VLOOKUP(C87,'Fatores de Impacto e INMs'!$A$3:$D$32,3,0),1)</f>
        <v>1</v>
      </c>
      <c r="N87" s="57">
        <f>IFERROR(VLOOKUP(C87,'Fatores de Impacto e INMs'!$A$3:$E$32,5,0),1)</f>
        <v>1</v>
      </c>
      <c r="O87" s="63" t="str">
        <f xml:space="preserve">
IF(OR('Dados da OS'!$D$8="Selecione o tipo da contagem",ISBLANK('Dados da OS'!$D$8),B87="INM",B87="N/A",ISBLANK(B87),ISBLANK(C87),N87="VF"),"-",
   IF('Dados da OS'!$D$8=Parâmetros!$B$3,
      IF(OR(ISBLANK(D87),ISBLANK(F87)),"-",
         IF(L87="L","Baixa",IF(L87="A","Média",IF(L87="H","Alta","-")))),
      IF('Dados da OS'!$D$8=Parâmetros!$B$4,
         IF(OR(B87="ALI",B87="AIE"),"Baixa",IF(OR(B87="EE",B87="SE",B87="CE"),"Média","-")),
         IF(OR('Dados da OS'!$D$8=Parâmetros!$B$5,'Dados da OS'!$D$8=Parâmetros!$B$6),"-"))))</f>
        <v>-</v>
      </c>
      <c r="P87" s="59" t="str">
        <f xml:space="preserve">
IF(OR(ISBLANK(B87),ISBLANK(C87),B87="N/A",ISBLANK('Dados da OS'!$D$8)),"",
   IF(OR('Dados da OS'!$D$8=Parâmetros!$B$3,'Dados da OS'!$D$8=Parâmetros!$B$4),
      IF(OR(AND(B87="INM",N87&lt;&gt;"VF"),AND(N87="VF",B87&lt;&gt;"INM")),"",
        IF(AND(B87="INM",N87="VF"),IF(ISBLANK(H87),"",M87*H87),
        IF('Dados da OS'!$D$8=Parâmetros!$B$4,
           IF(OR(B87="CE",B87="EE"),4,IF(B87="SE",5,IF(B87="ALI",7,IF(B87="AIE",5,"")))),
        IF('Dados da OS'!$D$8=Parâmetros!$B$3,
           IF(OR(ISBLANK(D87),ISBLANK(F87)),"",
              IF(B87="ALI",IF(L87="L",7,IF(L87="A",10,15)),
                 IF(B87="AIE",IF(L87="L",5,IF(L87="A",7,10)),
                    IF(B87="SE",IF(L87="L",4,IF(L87="A",5,7)),
                       IF(OR(B87="EE",B87="CE"),IF(L87="L",3,IF(L87="A",4,6)),""))))))))),
   IF('Dados da OS'!$D$8=Parâmetros!$B$5,
      IF(OR(AND(B87="INM",N87&lt;&gt;"VF"),AND(N87="VF",B87&lt;&gt;"INM")),"",
         IF(B87="INM",IF(N87="VF",M87*H87,""),
            IF(B87="PE",4.6,
            IF(B87="AL",7,"")))),
   IF('Dados da OS'!$D$8=Parâmetros!$B$6,
      IF(B87="ALI",35,IF(B87="AIE",15,"")),""))
    )
)</f>
        <v/>
      </c>
      <c r="Q87" s="60" t="str">
        <f t="shared" si="13"/>
        <v/>
      </c>
      <c r="R87" s="61"/>
      <c r="S87" s="62"/>
      <c r="T87" s="80" t="s">
        <v>21</v>
      </c>
      <c r="U87" s="81"/>
      <c r="V87" s="99"/>
      <c r="W87" s="55"/>
      <c r="X87" s="55"/>
      <c r="Y87" s="56"/>
      <c r="Z87" s="55"/>
      <c r="AA87" s="56"/>
      <c r="AB87" s="55"/>
      <c r="AC87" s="57" t="str">
        <f t="shared" si="14"/>
        <v/>
      </c>
      <c r="AD87" s="57" t="str">
        <f t="shared" si="15"/>
        <v/>
      </c>
      <c r="AE87" s="57" t="str">
        <f xml:space="preserve">
IF(OR('Dados da OS'!$D$8=Parâmetros!$B$3,'Dados da OS'!$D$8=Parâmetros!$B$4),
  IF(OR(ISBLANK(X87),ISBLANK(Z87)),
     IF(OR(V87="ALI",V87="AIE"),"L",IF(ISBLANK(V87),"","A")),
     IF(V87="EE",IF(Z87&gt;=3,IF(X87&gt;=5,"H","A"),
     IF(Z87&gt;=2,IF(X87&gt;=16,"H",IF(X87&lt;=4,"L","A")),IF(X87&lt;=15,"L","A"))),
     IF(OR(V87="SE",V87="CE"),IF(Z87&gt;=4,IF(X87&gt;=6,"H","A"),IF(Z87&gt;=2,IF(X87&gt;=20,"H",IF(X87&lt;=5,"L","A")),IF(X87&lt;=19,"L","A"))),
     IF(OR(V87="ALI",V87="AIE"),IF(Z87&gt;=6,IF(X87&gt;=20,"H","A"),IF(Z87&gt;=2,IF(X87&gt;=51,"H",IF(X87&lt;=19,"L","A")),IF(X87&lt;=50,"L","A"))))))),
IF('Dados da OS'!$D$8=Parâmetros!$B$6,"Indicativa",
IF('Dados da OS'!$D$8=Parâmetros!$B$5,"PFS","")))</f>
        <v/>
      </c>
      <c r="AF87" s="57">
        <f>IFERROR(VLOOKUP(W87,'Fatores de Impacto e INMs'!$A$3:$D$32,3,0),1)</f>
        <v>1</v>
      </c>
      <c r="AG87" s="57">
        <f>IFERROR(VLOOKUP(W87,'Fatores de Impacto e INMs'!$A$3:$E$32,5,0),1)</f>
        <v>1</v>
      </c>
      <c r="AH87" s="82" t="str">
        <f xml:space="preserve">
IF(OR('Dados da OS'!$D$8="Selecione o tipo da contagem",ISBLANK('Dados da OS'!$D$8),V87="INM",V87="N/A",ISBLANK(V87),ISBLANK(W87),AG87="VF"),"-",
   IF('Dados da OS'!$D$8=Parâmetros!$B$3,
      IF(OR(ISBLANK(X87),ISBLANK(Z87)),"-",
         IF(AE87="L","Baixa",IF(AE87="A","Média",IF(AE87="H","Alta","-")))),
      IF('Dados da OS'!$D$8=Parâmetros!$B$4,
         IF(OR(V87="ALI",V87="AIE"),"Baixa",IF(OR(V87="EE",V87="SE",V87="CE"),"Média","-")),
         IF(OR('Dados da OS'!$D$8=Parâmetros!$B$5,'Dados da OS'!$D$8=Parâmetros!$B$6),"-"))))</f>
        <v>-</v>
      </c>
      <c r="AI87" s="83" t="str">
        <f xml:space="preserve">
IF(OR(ISBLANK(V87),ISBLANK(U87),ISBLANK(W87),V87="N/A",ISBLANK('Dados da OS'!$D$8)),"",
   IF(OR('Dados da OS'!$D$8=Parâmetros!$B$3,'Dados da OS'!$D$8=Parâmetros!$B$4),
      IF(OR(AND(V87="INM",AG87&lt;&gt;"VF"),AND(AG87="VF",V87&lt;&gt;"INM")),"",
        IF(AND(V87="INM",AG87="VF"),IF(ISBLANK(AB87),"",AF87*AB87),
        IF('Dados da OS'!$D$8=Parâmetros!$B$4,
           IF(OR(V87="CE",V87="EE"),4,IF(V87="SE",5,IF(V87="ALI",7,IF(V87="AIE",5,"")))),
        IF('Dados da OS'!$D$8=Parâmetros!$B$3,
           IF(OR(ISBLANK(X87),ISBLANK(Z87)),"",
              IF(V87="ALI",IF(AE87="L",7,IF(AE87="A",10,15)),
                 IF(V87="AIE",IF(AE87="L",5,IF(AE87="A",7,10)),
                    IF(V87="SE",IF(AE87="L",4,IF(AE87="A",5,7)),
                       IF(OR(V87="EE",V87="CE"),IF(AE87="L",3,IF(AE87="A",4,6)),""))))))))),
   IF('Dados da OS'!$D$8=Parâmetros!$B$5,
      IF(OR(AND(V87="INM",AG87&lt;&gt;"VF"),AND(AG87="VF",V87&lt;&gt;"INM")),"",
         IF(V87="INM",IF(AG87="VF",AF87*AB87,""),
            IF(V87="PE",4.6,
            IF(V87="AL",7,"")))),
   IF('Dados da OS'!$D$8=Parâmetros!$B$6,
      IF(V87="ALI",35,IF(V87="AIE",15,"")),""))
    )
)</f>
        <v/>
      </c>
      <c r="AJ87" s="82" t="str">
        <f t="shared" si="16"/>
        <v/>
      </c>
      <c r="AK87" s="84"/>
      <c r="AL87" s="85" t="s">
        <v>21</v>
      </c>
      <c r="AM87" s="86"/>
      <c r="AN87" s="85"/>
      <c r="AO87" s="87"/>
      <c r="AP87" s="85"/>
      <c r="AQ87" s="86"/>
      <c r="AR87" s="85"/>
    </row>
    <row r="88" spans="1:44" ht="15.75" customHeight="1">
      <c r="A88" s="54"/>
      <c r="B88" s="100"/>
      <c r="C88" s="55"/>
      <c r="D88" s="55"/>
      <c r="E88" s="56"/>
      <c r="F88" s="55"/>
      <c r="G88" s="56"/>
      <c r="H88" s="55"/>
      <c r="I88" s="64"/>
      <c r="J88" s="57" t="str">
        <f t="shared" si="11"/>
        <v/>
      </c>
      <c r="K88" s="57" t="str">
        <f t="shared" si="12"/>
        <v/>
      </c>
      <c r="L88" s="57" t="str">
        <f xml:space="preserve">
IF(OR('Dados da OS'!$D$8=Parâmetros!$B$3,'Dados da OS'!$D$8=Parâmetros!$B$4),
  IF(OR(ISBLANK(D88),ISBLANK(F88)),
     IF(OR(B88="ALI",B88="AIE"),"L",IF(ISBLANK(B88),"","A")),
     IF(B88="EE",IF(F88&gt;=3,IF(D88&gt;=5,"H","A"),
     IF(F88&gt;=2,IF(D88&gt;=16,"H",IF(D88&lt;=4,"L","A")),IF(D88&lt;=15,"L","A"))),
     IF(OR(B88="SE",B88="CE"),IF(F88&gt;=4,IF(D88&gt;=6,"H","A"),IF(F88&gt;=2,IF(D88&gt;=20,"H",IF(D88&lt;=5,"L","A")),IF(D88&lt;=19,"L","A"))),
     IF(OR(B88="ALI",B88="AIE"),IF(F88&gt;=6,IF(D88&gt;=20,"H","A"),IF(F88&gt;=2,IF(D88&gt;=51,"H",IF(D88&lt;=19,"L","A")),IF(D88&lt;=50,"L","A"))))))),
IF('Dados da OS'!$D$8=Parâmetros!$B$6,"Indicativa",
IF('Dados da OS'!$D$8=Parâmetros!$B$5,"PFS","")))</f>
        <v/>
      </c>
      <c r="M88" s="57">
        <f>IFERROR(VLOOKUP(C88,'Fatores de Impacto e INMs'!$A$3:$D$32,3,0),1)</f>
        <v>1</v>
      </c>
      <c r="N88" s="57">
        <f>IFERROR(VLOOKUP(C88,'Fatores de Impacto e INMs'!$A$3:$E$32,5,0),1)</f>
        <v>1</v>
      </c>
      <c r="O88" s="63" t="str">
        <f xml:space="preserve">
IF(OR('Dados da OS'!$D$8="Selecione o tipo da contagem",ISBLANK('Dados da OS'!$D$8),B88="INM",B88="N/A",ISBLANK(B88),ISBLANK(C88),N88="VF"),"-",
   IF('Dados da OS'!$D$8=Parâmetros!$B$3,
      IF(OR(ISBLANK(D88),ISBLANK(F88)),"-",
         IF(L88="L","Baixa",IF(L88="A","Média",IF(L88="H","Alta","-")))),
      IF('Dados da OS'!$D$8=Parâmetros!$B$4,
         IF(OR(B88="ALI",B88="AIE"),"Baixa",IF(OR(B88="EE",B88="SE",B88="CE"),"Média","-")),
         IF(OR('Dados da OS'!$D$8=Parâmetros!$B$5,'Dados da OS'!$D$8=Parâmetros!$B$6),"-"))))</f>
        <v>-</v>
      </c>
      <c r="P88" s="59" t="str">
        <f xml:space="preserve">
IF(OR(ISBLANK(B88),ISBLANK(C88),B88="N/A",ISBLANK('Dados da OS'!$D$8)),"",
   IF(OR('Dados da OS'!$D$8=Parâmetros!$B$3,'Dados da OS'!$D$8=Parâmetros!$B$4),
      IF(OR(AND(B88="INM",N88&lt;&gt;"VF"),AND(N88="VF",B88&lt;&gt;"INM")),"",
        IF(AND(B88="INM",N88="VF"),IF(ISBLANK(H88),"",M88*H88),
        IF('Dados da OS'!$D$8=Parâmetros!$B$4,
           IF(OR(B88="CE",B88="EE"),4,IF(B88="SE",5,IF(B88="ALI",7,IF(B88="AIE",5,"")))),
        IF('Dados da OS'!$D$8=Parâmetros!$B$3,
           IF(OR(ISBLANK(D88),ISBLANK(F88)),"",
              IF(B88="ALI",IF(L88="L",7,IF(L88="A",10,15)),
                 IF(B88="AIE",IF(L88="L",5,IF(L88="A",7,10)),
                    IF(B88="SE",IF(L88="L",4,IF(L88="A",5,7)),
                       IF(OR(B88="EE",B88="CE"),IF(L88="L",3,IF(L88="A",4,6)),""))))))))),
   IF('Dados da OS'!$D$8=Parâmetros!$B$5,
      IF(OR(AND(B88="INM",N88&lt;&gt;"VF"),AND(N88="VF",B88&lt;&gt;"INM")),"",
         IF(B88="INM",IF(N88="VF",M88*H88,""),
            IF(B88="PE",4.6,
            IF(B88="AL",7,"")))),
   IF('Dados da OS'!$D$8=Parâmetros!$B$6,
      IF(B88="ALI",35,IF(B88="AIE",15,"")),""))
    )
)</f>
        <v/>
      </c>
      <c r="Q88" s="60" t="str">
        <f t="shared" si="13"/>
        <v/>
      </c>
      <c r="R88" s="61"/>
      <c r="S88" s="62"/>
      <c r="T88" s="80" t="s">
        <v>21</v>
      </c>
      <c r="U88" s="81"/>
      <c r="V88" s="99"/>
      <c r="W88" s="55"/>
      <c r="X88" s="55"/>
      <c r="Y88" s="56"/>
      <c r="Z88" s="55"/>
      <c r="AA88" s="56"/>
      <c r="AB88" s="55"/>
      <c r="AC88" s="57" t="str">
        <f t="shared" si="14"/>
        <v/>
      </c>
      <c r="AD88" s="57" t="str">
        <f t="shared" si="15"/>
        <v/>
      </c>
      <c r="AE88" s="57" t="str">
        <f xml:space="preserve">
IF(OR('Dados da OS'!$D$8=Parâmetros!$B$3,'Dados da OS'!$D$8=Parâmetros!$B$4),
  IF(OR(ISBLANK(X88),ISBLANK(Z88)),
     IF(OR(V88="ALI",V88="AIE"),"L",IF(ISBLANK(V88),"","A")),
     IF(V88="EE",IF(Z88&gt;=3,IF(X88&gt;=5,"H","A"),
     IF(Z88&gt;=2,IF(X88&gt;=16,"H",IF(X88&lt;=4,"L","A")),IF(X88&lt;=15,"L","A"))),
     IF(OR(V88="SE",V88="CE"),IF(Z88&gt;=4,IF(X88&gt;=6,"H","A"),IF(Z88&gt;=2,IF(X88&gt;=20,"H",IF(X88&lt;=5,"L","A")),IF(X88&lt;=19,"L","A"))),
     IF(OR(V88="ALI",V88="AIE"),IF(Z88&gt;=6,IF(X88&gt;=20,"H","A"),IF(Z88&gt;=2,IF(X88&gt;=51,"H",IF(X88&lt;=19,"L","A")),IF(X88&lt;=50,"L","A"))))))),
IF('Dados da OS'!$D$8=Parâmetros!$B$6,"Indicativa",
IF('Dados da OS'!$D$8=Parâmetros!$B$5,"PFS","")))</f>
        <v/>
      </c>
      <c r="AF88" s="57">
        <f>IFERROR(VLOOKUP(W88,'Fatores de Impacto e INMs'!$A$3:$D$32,3,0),1)</f>
        <v>1</v>
      </c>
      <c r="AG88" s="57">
        <f>IFERROR(VLOOKUP(W88,'Fatores de Impacto e INMs'!$A$3:$E$32,5,0),1)</f>
        <v>1</v>
      </c>
      <c r="AH88" s="82" t="str">
        <f xml:space="preserve">
IF(OR('Dados da OS'!$D$8="Selecione o tipo da contagem",ISBLANK('Dados da OS'!$D$8),V88="INM",V88="N/A",ISBLANK(V88),ISBLANK(W88),AG88="VF"),"-",
   IF('Dados da OS'!$D$8=Parâmetros!$B$3,
      IF(OR(ISBLANK(X88),ISBLANK(Z88)),"-",
         IF(AE88="L","Baixa",IF(AE88="A","Média",IF(AE88="H","Alta","-")))),
      IF('Dados da OS'!$D$8=Parâmetros!$B$4,
         IF(OR(V88="ALI",V88="AIE"),"Baixa",IF(OR(V88="EE",V88="SE",V88="CE"),"Média","-")),
         IF(OR('Dados da OS'!$D$8=Parâmetros!$B$5,'Dados da OS'!$D$8=Parâmetros!$B$6),"-"))))</f>
        <v>-</v>
      </c>
      <c r="AI88" s="83" t="str">
        <f xml:space="preserve">
IF(OR(ISBLANK(V88),ISBLANK(U88),ISBLANK(W88),V88="N/A",ISBLANK('Dados da OS'!$D$8)),"",
   IF(OR('Dados da OS'!$D$8=Parâmetros!$B$3,'Dados da OS'!$D$8=Parâmetros!$B$4),
      IF(OR(AND(V88="INM",AG88&lt;&gt;"VF"),AND(AG88="VF",V88&lt;&gt;"INM")),"",
        IF(AND(V88="INM",AG88="VF"),IF(ISBLANK(AB88),"",AF88*AB88),
        IF('Dados da OS'!$D$8=Parâmetros!$B$4,
           IF(OR(V88="CE",V88="EE"),4,IF(V88="SE",5,IF(V88="ALI",7,IF(V88="AIE",5,"")))),
        IF('Dados da OS'!$D$8=Parâmetros!$B$3,
           IF(OR(ISBLANK(X88),ISBLANK(Z88)),"",
              IF(V88="ALI",IF(AE88="L",7,IF(AE88="A",10,15)),
                 IF(V88="AIE",IF(AE88="L",5,IF(AE88="A",7,10)),
                    IF(V88="SE",IF(AE88="L",4,IF(AE88="A",5,7)),
                       IF(OR(V88="EE",V88="CE"),IF(AE88="L",3,IF(AE88="A",4,6)),""))))))))),
   IF('Dados da OS'!$D$8=Parâmetros!$B$5,
      IF(OR(AND(V88="INM",AG88&lt;&gt;"VF"),AND(AG88="VF",V88&lt;&gt;"INM")),"",
         IF(V88="INM",IF(AG88="VF",AF88*AB88,""),
            IF(V88="PE",4.6,
            IF(V88="AL",7,"")))),
   IF('Dados da OS'!$D$8=Parâmetros!$B$6,
      IF(V88="ALI",35,IF(V88="AIE",15,"")),""))
    )
)</f>
        <v/>
      </c>
      <c r="AJ88" s="82" t="str">
        <f t="shared" si="16"/>
        <v/>
      </c>
      <c r="AK88" s="84"/>
      <c r="AL88" s="85" t="s">
        <v>21</v>
      </c>
      <c r="AM88" s="86"/>
      <c r="AN88" s="85"/>
      <c r="AO88" s="87"/>
      <c r="AP88" s="85"/>
      <c r="AQ88" s="86"/>
      <c r="AR88" s="85"/>
    </row>
    <row r="89" spans="1:44" ht="15.75" customHeight="1">
      <c r="A89" s="54"/>
      <c r="B89" s="100"/>
      <c r="C89" s="55"/>
      <c r="D89" s="55"/>
      <c r="E89" s="56"/>
      <c r="F89" s="55"/>
      <c r="G89" s="56"/>
      <c r="H89" s="55"/>
      <c r="I89" s="64"/>
      <c r="J89" s="57" t="str">
        <f t="shared" si="11"/>
        <v/>
      </c>
      <c r="K89" s="57" t="str">
        <f t="shared" si="12"/>
        <v/>
      </c>
      <c r="L89" s="57" t="str">
        <f xml:space="preserve">
IF(OR('Dados da OS'!$D$8=Parâmetros!$B$3,'Dados da OS'!$D$8=Parâmetros!$B$4),
  IF(OR(ISBLANK(D89),ISBLANK(F89)),
     IF(OR(B89="ALI",B89="AIE"),"L",IF(ISBLANK(B89),"","A")),
     IF(B89="EE",IF(F89&gt;=3,IF(D89&gt;=5,"H","A"),
     IF(F89&gt;=2,IF(D89&gt;=16,"H",IF(D89&lt;=4,"L","A")),IF(D89&lt;=15,"L","A"))),
     IF(OR(B89="SE",B89="CE"),IF(F89&gt;=4,IF(D89&gt;=6,"H","A"),IF(F89&gt;=2,IF(D89&gt;=20,"H",IF(D89&lt;=5,"L","A")),IF(D89&lt;=19,"L","A"))),
     IF(OR(B89="ALI",B89="AIE"),IF(F89&gt;=6,IF(D89&gt;=20,"H","A"),IF(F89&gt;=2,IF(D89&gt;=51,"H",IF(D89&lt;=19,"L","A")),IF(D89&lt;=50,"L","A"))))))),
IF('Dados da OS'!$D$8=Parâmetros!$B$6,"Indicativa",
IF('Dados da OS'!$D$8=Parâmetros!$B$5,"PFS","")))</f>
        <v/>
      </c>
      <c r="M89" s="57">
        <f>IFERROR(VLOOKUP(C89,'Fatores de Impacto e INMs'!$A$3:$D$32,3,0),1)</f>
        <v>1</v>
      </c>
      <c r="N89" s="57">
        <f>IFERROR(VLOOKUP(C89,'Fatores de Impacto e INMs'!$A$3:$E$32,5,0),1)</f>
        <v>1</v>
      </c>
      <c r="O89" s="63" t="str">
        <f xml:space="preserve">
IF(OR('Dados da OS'!$D$8="Selecione o tipo da contagem",ISBLANK('Dados da OS'!$D$8),B89="INM",B89="N/A",ISBLANK(B89),ISBLANK(C89),N89="VF"),"-",
   IF('Dados da OS'!$D$8=Parâmetros!$B$3,
      IF(OR(ISBLANK(D89),ISBLANK(F89)),"-",
         IF(L89="L","Baixa",IF(L89="A","Média",IF(L89="H","Alta","-")))),
      IF('Dados da OS'!$D$8=Parâmetros!$B$4,
         IF(OR(B89="ALI",B89="AIE"),"Baixa",IF(OR(B89="EE",B89="SE",B89="CE"),"Média","-")),
         IF(OR('Dados da OS'!$D$8=Parâmetros!$B$5,'Dados da OS'!$D$8=Parâmetros!$B$6),"-"))))</f>
        <v>-</v>
      </c>
      <c r="P89" s="59" t="str">
        <f xml:space="preserve">
IF(OR(ISBLANK(B89),ISBLANK(C89),B89="N/A",ISBLANK('Dados da OS'!$D$8)),"",
   IF(OR('Dados da OS'!$D$8=Parâmetros!$B$3,'Dados da OS'!$D$8=Parâmetros!$B$4),
      IF(OR(AND(B89="INM",N89&lt;&gt;"VF"),AND(N89="VF",B89&lt;&gt;"INM")),"",
        IF(AND(B89="INM",N89="VF"),IF(ISBLANK(H89),"",M89*H89),
        IF('Dados da OS'!$D$8=Parâmetros!$B$4,
           IF(OR(B89="CE",B89="EE"),4,IF(B89="SE",5,IF(B89="ALI",7,IF(B89="AIE",5,"")))),
        IF('Dados da OS'!$D$8=Parâmetros!$B$3,
           IF(OR(ISBLANK(D89),ISBLANK(F89)),"",
              IF(B89="ALI",IF(L89="L",7,IF(L89="A",10,15)),
                 IF(B89="AIE",IF(L89="L",5,IF(L89="A",7,10)),
                    IF(B89="SE",IF(L89="L",4,IF(L89="A",5,7)),
                       IF(OR(B89="EE",B89="CE"),IF(L89="L",3,IF(L89="A",4,6)),""))))))))),
   IF('Dados da OS'!$D$8=Parâmetros!$B$5,
      IF(OR(AND(B89="INM",N89&lt;&gt;"VF"),AND(N89="VF",B89&lt;&gt;"INM")),"",
         IF(B89="INM",IF(N89="VF",M89*H89,""),
            IF(B89="PE",4.6,
            IF(B89="AL",7,"")))),
   IF('Dados da OS'!$D$8=Parâmetros!$B$6,
      IF(B89="ALI",35,IF(B89="AIE",15,"")),""))
    )
)</f>
        <v/>
      </c>
      <c r="Q89" s="60" t="str">
        <f t="shared" si="13"/>
        <v/>
      </c>
      <c r="R89" s="61"/>
      <c r="S89" s="62"/>
      <c r="T89" s="80" t="s">
        <v>21</v>
      </c>
      <c r="U89" s="81"/>
      <c r="V89" s="99"/>
      <c r="W89" s="55"/>
      <c r="X89" s="55"/>
      <c r="Y89" s="56"/>
      <c r="Z89" s="55"/>
      <c r="AA89" s="56"/>
      <c r="AB89" s="55"/>
      <c r="AC89" s="57" t="str">
        <f t="shared" si="14"/>
        <v/>
      </c>
      <c r="AD89" s="57" t="str">
        <f t="shared" si="15"/>
        <v/>
      </c>
      <c r="AE89" s="57" t="str">
        <f xml:space="preserve">
IF(OR('Dados da OS'!$D$8=Parâmetros!$B$3,'Dados da OS'!$D$8=Parâmetros!$B$4),
  IF(OR(ISBLANK(X89),ISBLANK(Z89)),
     IF(OR(V89="ALI",V89="AIE"),"L",IF(ISBLANK(V89),"","A")),
     IF(V89="EE",IF(Z89&gt;=3,IF(X89&gt;=5,"H","A"),
     IF(Z89&gt;=2,IF(X89&gt;=16,"H",IF(X89&lt;=4,"L","A")),IF(X89&lt;=15,"L","A"))),
     IF(OR(V89="SE",V89="CE"),IF(Z89&gt;=4,IF(X89&gt;=6,"H","A"),IF(Z89&gt;=2,IF(X89&gt;=20,"H",IF(X89&lt;=5,"L","A")),IF(X89&lt;=19,"L","A"))),
     IF(OR(V89="ALI",V89="AIE"),IF(Z89&gt;=6,IF(X89&gt;=20,"H","A"),IF(Z89&gt;=2,IF(X89&gt;=51,"H",IF(X89&lt;=19,"L","A")),IF(X89&lt;=50,"L","A"))))))),
IF('Dados da OS'!$D$8=Parâmetros!$B$6,"Indicativa",
IF('Dados da OS'!$D$8=Parâmetros!$B$5,"PFS","")))</f>
        <v/>
      </c>
      <c r="AF89" s="57">
        <f>IFERROR(VLOOKUP(W89,'Fatores de Impacto e INMs'!$A$3:$D$32,3,0),1)</f>
        <v>1</v>
      </c>
      <c r="AG89" s="57">
        <f>IFERROR(VLOOKUP(W89,'Fatores de Impacto e INMs'!$A$3:$E$32,5,0),1)</f>
        <v>1</v>
      </c>
      <c r="AH89" s="82" t="str">
        <f xml:space="preserve">
IF(OR('Dados da OS'!$D$8="Selecione o tipo da contagem",ISBLANK('Dados da OS'!$D$8),V89="INM",V89="N/A",ISBLANK(V89),ISBLANK(W89),AG89="VF"),"-",
   IF('Dados da OS'!$D$8=Parâmetros!$B$3,
      IF(OR(ISBLANK(X89),ISBLANK(Z89)),"-",
         IF(AE89="L","Baixa",IF(AE89="A","Média",IF(AE89="H","Alta","-")))),
      IF('Dados da OS'!$D$8=Parâmetros!$B$4,
         IF(OR(V89="ALI",V89="AIE"),"Baixa",IF(OR(V89="EE",V89="SE",V89="CE"),"Média","-")),
         IF(OR('Dados da OS'!$D$8=Parâmetros!$B$5,'Dados da OS'!$D$8=Parâmetros!$B$6),"-"))))</f>
        <v>-</v>
      </c>
      <c r="AI89" s="83" t="str">
        <f xml:space="preserve">
IF(OR(ISBLANK(V89),ISBLANK(U89),ISBLANK(W89),V89="N/A",ISBLANK('Dados da OS'!$D$8)),"",
   IF(OR('Dados da OS'!$D$8=Parâmetros!$B$3,'Dados da OS'!$D$8=Parâmetros!$B$4),
      IF(OR(AND(V89="INM",AG89&lt;&gt;"VF"),AND(AG89="VF",V89&lt;&gt;"INM")),"",
        IF(AND(V89="INM",AG89="VF"),IF(ISBLANK(AB89),"",AF89*AB89),
        IF('Dados da OS'!$D$8=Parâmetros!$B$4,
           IF(OR(V89="CE",V89="EE"),4,IF(V89="SE",5,IF(V89="ALI",7,IF(V89="AIE",5,"")))),
        IF('Dados da OS'!$D$8=Parâmetros!$B$3,
           IF(OR(ISBLANK(X89),ISBLANK(Z89)),"",
              IF(V89="ALI",IF(AE89="L",7,IF(AE89="A",10,15)),
                 IF(V89="AIE",IF(AE89="L",5,IF(AE89="A",7,10)),
                    IF(V89="SE",IF(AE89="L",4,IF(AE89="A",5,7)),
                       IF(OR(V89="EE",V89="CE"),IF(AE89="L",3,IF(AE89="A",4,6)),""))))))))),
   IF('Dados da OS'!$D$8=Parâmetros!$B$5,
      IF(OR(AND(V89="INM",AG89&lt;&gt;"VF"),AND(AG89="VF",V89&lt;&gt;"INM")),"",
         IF(V89="INM",IF(AG89="VF",AF89*AB89,""),
            IF(V89="PE",4.6,
            IF(V89="AL",7,"")))),
   IF('Dados da OS'!$D$8=Parâmetros!$B$6,
      IF(V89="ALI",35,IF(V89="AIE",15,"")),""))
    )
)</f>
        <v/>
      </c>
      <c r="AJ89" s="82" t="str">
        <f t="shared" si="16"/>
        <v/>
      </c>
      <c r="AK89" s="84"/>
      <c r="AL89" s="85" t="s">
        <v>21</v>
      </c>
      <c r="AM89" s="86"/>
      <c r="AN89" s="85"/>
      <c r="AO89" s="87"/>
      <c r="AP89" s="85"/>
      <c r="AQ89" s="86"/>
      <c r="AR89" s="85"/>
    </row>
    <row r="90" spans="1:44" ht="15.75" customHeight="1">
      <c r="A90" s="54"/>
      <c r="B90" s="100"/>
      <c r="C90" s="55"/>
      <c r="D90" s="55"/>
      <c r="E90" s="56"/>
      <c r="F90" s="55"/>
      <c r="G90" s="56"/>
      <c r="H90" s="55"/>
      <c r="I90" s="64"/>
      <c r="J90" s="57" t="str">
        <f t="shared" si="11"/>
        <v/>
      </c>
      <c r="K90" s="57" t="str">
        <f t="shared" si="12"/>
        <v/>
      </c>
      <c r="L90" s="57" t="str">
        <f xml:space="preserve">
IF(OR('Dados da OS'!$D$8=Parâmetros!$B$3,'Dados da OS'!$D$8=Parâmetros!$B$4),
  IF(OR(ISBLANK(D90),ISBLANK(F90)),
     IF(OR(B90="ALI",B90="AIE"),"L",IF(ISBLANK(B90),"","A")),
     IF(B90="EE",IF(F90&gt;=3,IF(D90&gt;=5,"H","A"),
     IF(F90&gt;=2,IF(D90&gt;=16,"H",IF(D90&lt;=4,"L","A")),IF(D90&lt;=15,"L","A"))),
     IF(OR(B90="SE",B90="CE"),IF(F90&gt;=4,IF(D90&gt;=6,"H","A"),IF(F90&gt;=2,IF(D90&gt;=20,"H",IF(D90&lt;=5,"L","A")),IF(D90&lt;=19,"L","A"))),
     IF(OR(B90="ALI",B90="AIE"),IF(F90&gt;=6,IF(D90&gt;=20,"H","A"),IF(F90&gt;=2,IF(D90&gt;=51,"H",IF(D90&lt;=19,"L","A")),IF(D90&lt;=50,"L","A"))))))),
IF('Dados da OS'!$D$8=Parâmetros!$B$6,"Indicativa",
IF('Dados da OS'!$D$8=Parâmetros!$B$5,"PFS","")))</f>
        <v/>
      </c>
      <c r="M90" s="57">
        <f>IFERROR(VLOOKUP(C90,'Fatores de Impacto e INMs'!$A$3:$D$32,3,0),1)</f>
        <v>1</v>
      </c>
      <c r="N90" s="57">
        <f>IFERROR(VLOOKUP(C90,'Fatores de Impacto e INMs'!$A$3:$E$32,5,0),1)</f>
        <v>1</v>
      </c>
      <c r="O90" s="63" t="str">
        <f xml:space="preserve">
IF(OR('Dados da OS'!$D$8="Selecione o tipo da contagem",ISBLANK('Dados da OS'!$D$8),B90="INM",B90="N/A",ISBLANK(B90),ISBLANK(C90),N90="VF"),"-",
   IF('Dados da OS'!$D$8=Parâmetros!$B$3,
      IF(OR(ISBLANK(D90),ISBLANK(F90)),"-",
         IF(L90="L","Baixa",IF(L90="A","Média",IF(L90="H","Alta","-")))),
      IF('Dados da OS'!$D$8=Parâmetros!$B$4,
         IF(OR(B90="ALI",B90="AIE"),"Baixa",IF(OR(B90="EE",B90="SE",B90="CE"),"Média","-")),
         IF(OR('Dados da OS'!$D$8=Parâmetros!$B$5,'Dados da OS'!$D$8=Parâmetros!$B$6),"-"))))</f>
        <v>-</v>
      </c>
      <c r="P90" s="59" t="str">
        <f xml:space="preserve">
IF(OR(ISBLANK(B90),ISBLANK(C90),B90="N/A",ISBLANK('Dados da OS'!$D$8)),"",
   IF(OR('Dados da OS'!$D$8=Parâmetros!$B$3,'Dados da OS'!$D$8=Parâmetros!$B$4),
      IF(OR(AND(B90="INM",N90&lt;&gt;"VF"),AND(N90="VF",B90&lt;&gt;"INM")),"",
        IF(AND(B90="INM",N90="VF"),IF(ISBLANK(H90),"",M90*H90),
        IF('Dados da OS'!$D$8=Parâmetros!$B$4,
           IF(OR(B90="CE",B90="EE"),4,IF(B90="SE",5,IF(B90="ALI",7,IF(B90="AIE",5,"")))),
        IF('Dados da OS'!$D$8=Parâmetros!$B$3,
           IF(OR(ISBLANK(D90),ISBLANK(F90)),"",
              IF(B90="ALI",IF(L90="L",7,IF(L90="A",10,15)),
                 IF(B90="AIE",IF(L90="L",5,IF(L90="A",7,10)),
                    IF(B90="SE",IF(L90="L",4,IF(L90="A",5,7)),
                       IF(OR(B90="EE",B90="CE"),IF(L90="L",3,IF(L90="A",4,6)),""))))))))),
   IF('Dados da OS'!$D$8=Parâmetros!$B$5,
      IF(OR(AND(B90="INM",N90&lt;&gt;"VF"),AND(N90="VF",B90&lt;&gt;"INM")),"",
         IF(B90="INM",IF(N90="VF",M90*H90,""),
            IF(B90="PE",4.6,
            IF(B90="AL",7,"")))),
   IF('Dados da OS'!$D$8=Parâmetros!$B$6,
      IF(B90="ALI",35,IF(B90="AIE",15,"")),""))
    )
)</f>
        <v/>
      </c>
      <c r="Q90" s="60" t="str">
        <f t="shared" si="13"/>
        <v/>
      </c>
      <c r="R90" s="61"/>
      <c r="S90" s="62"/>
      <c r="T90" s="80" t="s">
        <v>21</v>
      </c>
      <c r="U90" s="81"/>
      <c r="V90" s="99"/>
      <c r="W90" s="55"/>
      <c r="X90" s="55"/>
      <c r="Y90" s="56"/>
      <c r="Z90" s="55"/>
      <c r="AA90" s="56"/>
      <c r="AB90" s="55"/>
      <c r="AC90" s="57" t="str">
        <f t="shared" si="14"/>
        <v/>
      </c>
      <c r="AD90" s="57" t="str">
        <f t="shared" si="15"/>
        <v/>
      </c>
      <c r="AE90" s="57" t="str">
        <f xml:space="preserve">
IF(OR('Dados da OS'!$D$8=Parâmetros!$B$3,'Dados da OS'!$D$8=Parâmetros!$B$4),
  IF(OR(ISBLANK(X90),ISBLANK(Z90)),
     IF(OR(V90="ALI",V90="AIE"),"L",IF(ISBLANK(V90),"","A")),
     IF(V90="EE",IF(Z90&gt;=3,IF(X90&gt;=5,"H","A"),
     IF(Z90&gt;=2,IF(X90&gt;=16,"H",IF(X90&lt;=4,"L","A")),IF(X90&lt;=15,"L","A"))),
     IF(OR(V90="SE",V90="CE"),IF(Z90&gt;=4,IF(X90&gt;=6,"H","A"),IF(Z90&gt;=2,IF(X90&gt;=20,"H",IF(X90&lt;=5,"L","A")),IF(X90&lt;=19,"L","A"))),
     IF(OR(V90="ALI",V90="AIE"),IF(Z90&gt;=6,IF(X90&gt;=20,"H","A"),IF(Z90&gt;=2,IF(X90&gt;=51,"H",IF(X90&lt;=19,"L","A")),IF(X90&lt;=50,"L","A"))))))),
IF('Dados da OS'!$D$8=Parâmetros!$B$6,"Indicativa",
IF('Dados da OS'!$D$8=Parâmetros!$B$5,"PFS","")))</f>
        <v/>
      </c>
      <c r="AF90" s="57">
        <f>IFERROR(VLOOKUP(W90,'Fatores de Impacto e INMs'!$A$3:$D$32,3,0),1)</f>
        <v>1</v>
      </c>
      <c r="AG90" s="57">
        <f>IFERROR(VLOOKUP(W90,'Fatores de Impacto e INMs'!$A$3:$E$32,5,0),1)</f>
        <v>1</v>
      </c>
      <c r="AH90" s="82" t="str">
        <f xml:space="preserve">
IF(OR('Dados da OS'!$D$8="Selecione o tipo da contagem",ISBLANK('Dados da OS'!$D$8),V90="INM",V90="N/A",ISBLANK(V90),ISBLANK(W90),AG90="VF"),"-",
   IF('Dados da OS'!$D$8=Parâmetros!$B$3,
      IF(OR(ISBLANK(X90),ISBLANK(Z90)),"-",
         IF(AE90="L","Baixa",IF(AE90="A","Média",IF(AE90="H","Alta","-")))),
      IF('Dados da OS'!$D$8=Parâmetros!$B$4,
         IF(OR(V90="ALI",V90="AIE"),"Baixa",IF(OR(V90="EE",V90="SE",V90="CE"),"Média","-")),
         IF(OR('Dados da OS'!$D$8=Parâmetros!$B$5,'Dados da OS'!$D$8=Parâmetros!$B$6),"-"))))</f>
        <v>-</v>
      </c>
      <c r="AI90" s="83" t="str">
        <f xml:space="preserve">
IF(OR(ISBLANK(V90),ISBLANK(U90),ISBLANK(W90),V90="N/A",ISBLANK('Dados da OS'!$D$8)),"",
   IF(OR('Dados da OS'!$D$8=Parâmetros!$B$3,'Dados da OS'!$D$8=Parâmetros!$B$4),
      IF(OR(AND(V90="INM",AG90&lt;&gt;"VF"),AND(AG90="VF",V90&lt;&gt;"INM")),"",
        IF(AND(V90="INM",AG90="VF"),IF(ISBLANK(AB90),"",AF90*AB90),
        IF('Dados da OS'!$D$8=Parâmetros!$B$4,
           IF(OR(V90="CE",V90="EE"),4,IF(V90="SE",5,IF(V90="ALI",7,IF(V90="AIE",5,"")))),
        IF('Dados da OS'!$D$8=Parâmetros!$B$3,
           IF(OR(ISBLANK(X90),ISBLANK(Z90)),"",
              IF(V90="ALI",IF(AE90="L",7,IF(AE90="A",10,15)),
                 IF(V90="AIE",IF(AE90="L",5,IF(AE90="A",7,10)),
                    IF(V90="SE",IF(AE90="L",4,IF(AE90="A",5,7)),
                       IF(OR(V90="EE",V90="CE"),IF(AE90="L",3,IF(AE90="A",4,6)),""))))))))),
   IF('Dados da OS'!$D$8=Parâmetros!$B$5,
      IF(OR(AND(V90="INM",AG90&lt;&gt;"VF"),AND(AG90="VF",V90&lt;&gt;"INM")),"",
         IF(V90="INM",IF(AG90="VF",AF90*AB90,""),
            IF(V90="PE",4.6,
            IF(V90="AL",7,"")))),
   IF('Dados da OS'!$D$8=Parâmetros!$B$6,
      IF(V90="ALI",35,IF(V90="AIE",15,"")),""))
    )
)</f>
        <v/>
      </c>
      <c r="AJ90" s="82" t="str">
        <f t="shared" si="16"/>
        <v/>
      </c>
      <c r="AK90" s="84"/>
      <c r="AL90" s="85" t="s">
        <v>21</v>
      </c>
      <c r="AM90" s="86"/>
      <c r="AN90" s="85"/>
      <c r="AO90" s="87"/>
      <c r="AP90" s="85"/>
      <c r="AQ90" s="86"/>
      <c r="AR90" s="85"/>
    </row>
    <row r="91" spans="1:44" ht="15.75" customHeight="1">
      <c r="A91" s="54"/>
      <c r="B91" s="100"/>
      <c r="C91" s="55"/>
      <c r="D91" s="55"/>
      <c r="E91" s="56"/>
      <c r="F91" s="55"/>
      <c r="G91" s="56"/>
      <c r="H91" s="55"/>
      <c r="I91" s="64"/>
      <c r="J91" s="57" t="str">
        <f t="shared" si="11"/>
        <v/>
      </c>
      <c r="K91" s="57" t="str">
        <f t="shared" si="12"/>
        <v/>
      </c>
      <c r="L91" s="57" t="str">
        <f xml:space="preserve">
IF(OR('Dados da OS'!$D$8=Parâmetros!$B$3,'Dados da OS'!$D$8=Parâmetros!$B$4),
  IF(OR(ISBLANK(D91),ISBLANK(F91)),
     IF(OR(B91="ALI",B91="AIE"),"L",IF(ISBLANK(B91),"","A")),
     IF(B91="EE",IF(F91&gt;=3,IF(D91&gt;=5,"H","A"),
     IF(F91&gt;=2,IF(D91&gt;=16,"H",IF(D91&lt;=4,"L","A")),IF(D91&lt;=15,"L","A"))),
     IF(OR(B91="SE",B91="CE"),IF(F91&gt;=4,IF(D91&gt;=6,"H","A"),IF(F91&gt;=2,IF(D91&gt;=20,"H",IF(D91&lt;=5,"L","A")),IF(D91&lt;=19,"L","A"))),
     IF(OR(B91="ALI",B91="AIE"),IF(F91&gt;=6,IF(D91&gt;=20,"H","A"),IF(F91&gt;=2,IF(D91&gt;=51,"H",IF(D91&lt;=19,"L","A")),IF(D91&lt;=50,"L","A"))))))),
IF('Dados da OS'!$D$8=Parâmetros!$B$6,"Indicativa",
IF('Dados da OS'!$D$8=Parâmetros!$B$5,"PFS","")))</f>
        <v/>
      </c>
      <c r="M91" s="57">
        <f>IFERROR(VLOOKUP(C91,'Fatores de Impacto e INMs'!$A$3:$D$32,3,0),1)</f>
        <v>1</v>
      </c>
      <c r="N91" s="57">
        <f>IFERROR(VLOOKUP(C91,'Fatores de Impacto e INMs'!$A$3:$E$32,5,0),1)</f>
        <v>1</v>
      </c>
      <c r="O91" s="63" t="str">
        <f xml:space="preserve">
IF(OR('Dados da OS'!$D$8="Selecione o tipo da contagem",ISBLANK('Dados da OS'!$D$8),B91="INM",B91="N/A",ISBLANK(B91),ISBLANK(C91),N91="VF"),"-",
   IF('Dados da OS'!$D$8=Parâmetros!$B$3,
      IF(OR(ISBLANK(D91),ISBLANK(F91)),"-",
         IF(L91="L","Baixa",IF(L91="A","Média",IF(L91="H","Alta","-")))),
      IF('Dados da OS'!$D$8=Parâmetros!$B$4,
         IF(OR(B91="ALI",B91="AIE"),"Baixa",IF(OR(B91="EE",B91="SE",B91="CE"),"Média","-")),
         IF(OR('Dados da OS'!$D$8=Parâmetros!$B$5,'Dados da OS'!$D$8=Parâmetros!$B$6),"-"))))</f>
        <v>-</v>
      </c>
      <c r="P91" s="59" t="str">
        <f xml:space="preserve">
IF(OR(ISBLANK(B91),ISBLANK(C91),B91="N/A",ISBLANK('Dados da OS'!$D$8)),"",
   IF(OR('Dados da OS'!$D$8=Parâmetros!$B$3,'Dados da OS'!$D$8=Parâmetros!$B$4),
      IF(OR(AND(B91="INM",N91&lt;&gt;"VF"),AND(N91="VF",B91&lt;&gt;"INM")),"",
        IF(AND(B91="INM",N91="VF"),IF(ISBLANK(H91),"",M91*H91),
        IF('Dados da OS'!$D$8=Parâmetros!$B$4,
           IF(OR(B91="CE",B91="EE"),4,IF(B91="SE",5,IF(B91="ALI",7,IF(B91="AIE",5,"")))),
        IF('Dados da OS'!$D$8=Parâmetros!$B$3,
           IF(OR(ISBLANK(D91),ISBLANK(F91)),"",
              IF(B91="ALI",IF(L91="L",7,IF(L91="A",10,15)),
                 IF(B91="AIE",IF(L91="L",5,IF(L91="A",7,10)),
                    IF(B91="SE",IF(L91="L",4,IF(L91="A",5,7)),
                       IF(OR(B91="EE",B91="CE"),IF(L91="L",3,IF(L91="A",4,6)),""))))))))),
   IF('Dados da OS'!$D$8=Parâmetros!$B$5,
      IF(OR(AND(B91="INM",N91&lt;&gt;"VF"),AND(N91="VF",B91&lt;&gt;"INM")),"",
         IF(B91="INM",IF(N91="VF",M91*H91,""),
            IF(B91="PE",4.6,
            IF(B91="AL",7,"")))),
   IF('Dados da OS'!$D$8=Parâmetros!$B$6,
      IF(B91="ALI",35,IF(B91="AIE",15,"")),""))
    )
)</f>
        <v/>
      </c>
      <c r="Q91" s="60" t="str">
        <f t="shared" si="13"/>
        <v/>
      </c>
      <c r="R91" s="61"/>
      <c r="S91" s="62"/>
      <c r="T91" s="80" t="s">
        <v>21</v>
      </c>
      <c r="U91" s="81"/>
      <c r="V91" s="99"/>
      <c r="W91" s="55"/>
      <c r="X91" s="55"/>
      <c r="Y91" s="56"/>
      <c r="Z91" s="55"/>
      <c r="AA91" s="56"/>
      <c r="AB91" s="55"/>
      <c r="AC91" s="57" t="str">
        <f t="shared" si="14"/>
        <v/>
      </c>
      <c r="AD91" s="57" t="str">
        <f t="shared" si="15"/>
        <v/>
      </c>
      <c r="AE91" s="57" t="str">
        <f xml:space="preserve">
IF(OR('Dados da OS'!$D$8=Parâmetros!$B$3,'Dados da OS'!$D$8=Parâmetros!$B$4),
  IF(OR(ISBLANK(X91),ISBLANK(Z91)),
     IF(OR(V91="ALI",V91="AIE"),"L",IF(ISBLANK(V91),"","A")),
     IF(V91="EE",IF(Z91&gt;=3,IF(X91&gt;=5,"H","A"),
     IF(Z91&gt;=2,IF(X91&gt;=16,"H",IF(X91&lt;=4,"L","A")),IF(X91&lt;=15,"L","A"))),
     IF(OR(V91="SE",V91="CE"),IF(Z91&gt;=4,IF(X91&gt;=6,"H","A"),IF(Z91&gt;=2,IF(X91&gt;=20,"H",IF(X91&lt;=5,"L","A")),IF(X91&lt;=19,"L","A"))),
     IF(OR(V91="ALI",V91="AIE"),IF(Z91&gt;=6,IF(X91&gt;=20,"H","A"),IF(Z91&gt;=2,IF(X91&gt;=51,"H",IF(X91&lt;=19,"L","A")),IF(X91&lt;=50,"L","A"))))))),
IF('Dados da OS'!$D$8=Parâmetros!$B$6,"Indicativa",
IF('Dados da OS'!$D$8=Parâmetros!$B$5,"PFS","")))</f>
        <v/>
      </c>
      <c r="AF91" s="57">
        <f>IFERROR(VLOOKUP(W91,'Fatores de Impacto e INMs'!$A$3:$D$32,3,0),1)</f>
        <v>1</v>
      </c>
      <c r="AG91" s="57">
        <f>IFERROR(VLOOKUP(W91,'Fatores de Impacto e INMs'!$A$3:$E$32,5,0),1)</f>
        <v>1</v>
      </c>
      <c r="AH91" s="82" t="str">
        <f xml:space="preserve">
IF(OR('Dados da OS'!$D$8="Selecione o tipo da contagem",ISBLANK('Dados da OS'!$D$8),V91="INM",V91="N/A",ISBLANK(V91),ISBLANK(W91),AG91="VF"),"-",
   IF('Dados da OS'!$D$8=Parâmetros!$B$3,
      IF(OR(ISBLANK(X91),ISBLANK(Z91)),"-",
         IF(AE91="L","Baixa",IF(AE91="A","Média",IF(AE91="H","Alta","-")))),
      IF('Dados da OS'!$D$8=Parâmetros!$B$4,
         IF(OR(V91="ALI",V91="AIE"),"Baixa",IF(OR(V91="EE",V91="SE",V91="CE"),"Média","-")),
         IF(OR('Dados da OS'!$D$8=Parâmetros!$B$5,'Dados da OS'!$D$8=Parâmetros!$B$6),"-"))))</f>
        <v>-</v>
      </c>
      <c r="AI91" s="83" t="str">
        <f xml:space="preserve">
IF(OR(ISBLANK(V91),ISBLANK(U91),ISBLANK(W91),V91="N/A",ISBLANK('Dados da OS'!$D$8)),"",
   IF(OR('Dados da OS'!$D$8=Parâmetros!$B$3,'Dados da OS'!$D$8=Parâmetros!$B$4),
      IF(OR(AND(V91="INM",AG91&lt;&gt;"VF"),AND(AG91="VF",V91&lt;&gt;"INM")),"",
        IF(AND(V91="INM",AG91="VF"),IF(ISBLANK(AB91),"",AF91*AB91),
        IF('Dados da OS'!$D$8=Parâmetros!$B$4,
           IF(OR(V91="CE",V91="EE"),4,IF(V91="SE",5,IF(V91="ALI",7,IF(V91="AIE",5,"")))),
        IF('Dados da OS'!$D$8=Parâmetros!$B$3,
           IF(OR(ISBLANK(X91),ISBLANK(Z91)),"",
              IF(V91="ALI",IF(AE91="L",7,IF(AE91="A",10,15)),
                 IF(V91="AIE",IF(AE91="L",5,IF(AE91="A",7,10)),
                    IF(V91="SE",IF(AE91="L",4,IF(AE91="A",5,7)),
                       IF(OR(V91="EE",V91="CE"),IF(AE91="L",3,IF(AE91="A",4,6)),""))))))))),
   IF('Dados da OS'!$D$8=Parâmetros!$B$5,
      IF(OR(AND(V91="INM",AG91&lt;&gt;"VF"),AND(AG91="VF",V91&lt;&gt;"INM")),"",
         IF(V91="INM",IF(AG91="VF",AF91*AB91,""),
            IF(V91="PE",4.6,
            IF(V91="AL",7,"")))),
   IF('Dados da OS'!$D$8=Parâmetros!$B$6,
      IF(V91="ALI",35,IF(V91="AIE",15,"")),""))
    )
)</f>
        <v/>
      </c>
      <c r="AJ91" s="82" t="str">
        <f t="shared" si="16"/>
        <v/>
      </c>
      <c r="AK91" s="84"/>
      <c r="AL91" s="85" t="s">
        <v>21</v>
      </c>
      <c r="AM91" s="86"/>
      <c r="AN91" s="85"/>
      <c r="AO91" s="87"/>
      <c r="AP91" s="85"/>
      <c r="AQ91" s="86"/>
      <c r="AR91" s="85"/>
    </row>
    <row r="92" spans="1:44" ht="15.75" customHeight="1">
      <c r="A92" s="54"/>
      <c r="B92" s="100"/>
      <c r="C92" s="55"/>
      <c r="D92" s="55"/>
      <c r="E92" s="56"/>
      <c r="F92" s="55"/>
      <c r="G92" s="56"/>
      <c r="H92" s="55"/>
      <c r="I92" s="64"/>
      <c r="J92" s="57" t="str">
        <f t="shared" si="11"/>
        <v/>
      </c>
      <c r="K92" s="57" t="str">
        <f t="shared" si="12"/>
        <v/>
      </c>
      <c r="L92" s="57" t="str">
        <f xml:space="preserve">
IF(OR('Dados da OS'!$D$8=Parâmetros!$B$3,'Dados da OS'!$D$8=Parâmetros!$B$4),
  IF(OR(ISBLANK(D92),ISBLANK(F92)),
     IF(OR(B92="ALI",B92="AIE"),"L",IF(ISBLANK(B92),"","A")),
     IF(B92="EE",IF(F92&gt;=3,IF(D92&gt;=5,"H","A"),
     IF(F92&gt;=2,IF(D92&gt;=16,"H",IF(D92&lt;=4,"L","A")),IF(D92&lt;=15,"L","A"))),
     IF(OR(B92="SE",B92="CE"),IF(F92&gt;=4,IF(D92&gt;=6,"H","A"),IF(F92&gt;=2,IF(D92&gt;=20,"H",IF(D92&lt;=5,"L","A")),IF(D92&lt;=19,"L","A"))),
     IF(OR(B92="ALI",B92="AIE"),IF(F92&gt;=6,IF(D92&gt;=20,"H","A"),IF(F92&gt;=2,IF(D92&gt;=51,"H",IF(D92&lt;=19,"L","A")),IF(D92&lt;=50,"L","A"))))))),
IF('Dados da OS'!$D$8=Parâmetros!$B$6,"Indicativa",
IF('Dados da OS'!$D$8=Parâmetros!$B$5,"PFS","")))</f>
        <v/>
      </c>
      <c r="M92" s="57">
        <f>IFERROR(VLOOKUP(C92,'Fatores de Impacto e INMs'!$A$3:$D$32,3,0),1)</f>
        <v>1</v>
      </c>
      <c r="N92" s="57">
        <f>IFERROR(VLOOKUP(C92,'Fatores de Impacto e INMs'!$A$3:$E$32,5,0),1)</f>
        <v>1</v>
      </c>
      <c r="O92" s="63" t="str">
        <f xml:space="preserve">
IF(OR('Dados da OS'!$D$8="Selecione o tipo da contagem",ISBLANK('Dados da OS'!$D$8),B92="INM",B92="N/A",ISBLANK(B92),ISBLANK(C92),N92="VF"),"-",
   IF('Dados da OS'!$D$8=Parâmetros!$B$3,
      IF(OR(ISBLANK(D92),ISBLANK(F92)),"-",
         IF(L92="L","Baixa",IF(L92="A","Média",IF(L92="H","Alta","-")))),
      IF('Dados da OS'!$D$8=Parâmetros!$B$4,
         IF(OR(B92="ALI",B92="AIE"),"Baixa",IF(OR(B92="EE",B92="SE",B92="CE"),"Média","-")),
         IF(OR('Dados da OS'!$D$8=Parâmetros!$B$5,'Dados da OS'!$D$8=Parâmetros!$B$6),"-"))))</f>
        <v>-</v>
      </c>
      <c r="P92" s="59" t="str">
        <f xml:space="preserve">
IF(OR(ISBLANK(B92),ISBLANK(C92),B92="N/A",ISBLANK('Dados da OS'!$D$8)),"",
   IF(OR('Dados da OS'!$D$8=Parâmetros!$B$3,'Dados da OS'!$D$8=Parâmetros!$B$4),
      IF(OR(AND(B92="INM",N92&lt;&gt;"VF"),AND(N92="VF",B92&lt;&gt;"INM")),"",
        IF(AND(B92="INM",N92="VF"),IF(ISBLANK(H92),"",M92*H92),
        IF('Dados da OS'!$D$8=Parâmetros!$B$4,
           IF(OR(B92="CE",B92="EE"),4,IF(B92="SE",5,IF(B92="ALI",7,IF(B92="AIE",5,"")))),
        IF('Dados da OS'!$D$8=Parâmetros!$B$3,
           IF(OR(ISBLANK(D92),ISBLANK(F92)),"",
              IF(B92="ALI",IF(L92="L",7,IF(L92="A",10,15)),
                 IF(B92="AIE",IF(L92="L",5,IF(L92="A",7,10)),
                    IF(B92="SE",IF(L92="L",4,IF(L92="A",5,7)),
                       IF(OR(B92="EE",B92="CE"),IF(L92="L",3,IF(L92="A",4,6)),""))))))))),
   IF('Dados da OS'!$D$8=Parâmetros!$B$5,
      IF(OR(AND(B92="INM",N92&lt;&gt;"VF"),AND(N92="VF",B92&lt;&gt;"INM")),"",
         IF(B92="INM",IF(N92="VF",M92*H92,""),
            IF(B92="PE",4.6,
            IF(B92="AL",7,"")))),
   IF('Dados da OS'!$D$8=Parâmetros!$B$6,
      IF(B92="ALI",35,IF(B92="AIE",15,"")),""))
    )
)</f>
        <v/>
      </c>
      <c r="Q92" s="60" t="str">
        <f t="shared" si="13"/>
        <v/>
      </c>
      <c r="R92" s="61"/>
      <c r="S92" s="62"/>
      <c r="T92" s="80" t="s">
        <v>21</v>
      </c>
      <c r="U92" s="81"/>
      <c r="V92" s="99"/>
      <c r="W92" s="55"/>
      <c r="X92" s="55"/>
      <c r="Y92" s="56"/>
      <c r="Z92" s="55"/>
      <c r="AA92" s="56"/>
      <c r="AB92" s="55"/>
      <c r="AC92" s="57" t="str">
        <f t="shared" si="14"/>
        <v/>
      </c>
      <c r="AD92" s="57" t="str">
        <f t="shared" si="15"/>
        <v/>
      </c>
      <c r="AE92" s="57" t="str">
        <f xml:space="preserve">
IF(OR('Dados da OS'!$D$8=Parâmetros!$B$3,'Dados da OS'!$D$8=Parâmetros!$B$4),
  IF(OR(ISBLANK(X92),ISBLANK(Z92)),
     IF(OR(V92="ALI",V92="AIE"),"L",IF(ISBLANK(V92),"","A")),
     IF(V92="EE",IF(Z92&gt;=3,IF(X92&gt;=5,"H","A"),
     IF(Z92&gt;=2,IF(X92&gt;=16,"H",IF(X92&lt;=4,"L","A")),IF(X92&lt;=15,"L","A"))),
     IF(OR(V92="SE",V92="CE"),IF(Z92&gt;=4,IF(X92&gt;=6,"H","A"),IF(Z92&gt;=2,IF(X92&gt;=20,"H",IF(X92&lt;=5,"L","A")),IF(X92&lt;=19,"L","A"))),
     IF(OR(V92="ALI",V92="AIE"),IF(Z92&gt;=6,IF(X92&gt;=20,"H","A"),IF(Z92&gt;=2,IF(X92&gt;=51,"H",IF(X92&lt;=19,"L","A")),IF(X92&lt;=50,"L","A"))))))),
IF('Dados da OS'!$D$8=Parâmetros!$B$6,"Indicativa",
IF('Dados da OS'!$D$8=Parâmetros!$B$5,"PFS","")))</f>
        <v/>
      </c>
      <c r="AF92" s="57">
        <f>IFERROR(VLOOKUP(W92,'Fatores de Impacto e INMs'!$A$3:$D$32,3,0),1)</f>
        <v>1</v>
      </c>
      <c r="AG92" s="57">
        <f>IFERROR(VLOOKUP(W92,'Fatores de Impacto e INMs'!$A$3:$E$32,5,0),1)</f>
        <v>1</v>
      </c>
      <c r="AH92" s="82" t="str">
        <f xml:space="preserve">
IF(OR('Dados da OS'!$D$8="Selecione o tipo da contagem",ISBLANK('Dados da OS'!$D$8),V92="INM",V92="N/A",ISBLANK(V92),ISBLANK(W92),AG92="VF"),"-",
   IF('Dados da OS'!$D$8=Parâmetros!$B$3,
      IF(OR(ISBLANK(X92),ISBLANK(Z92)),"-",
         IF(AE92="L","Baixa",IF(AE92="A","Média",IF(AE92="H","Alta","-")))),
      IF('Dados da OS'!$D$8=Parâmetros!$B$4,
         IF(OR(V92="ALI",V92="AIE"),"Baixa",IF(OR(V92="EE",V92="SE",V92="CE"),"Média","-")),
         IF(OR('Dados da OS'!$D$8=Parâmetros!$B$5,'Dados da OS'!$D$8=Parâmetros!$B$6),"-"))))</f>
        <v>-</v>
      </c>
      <c r="AI92" s="83" t="str">
        <f xml:space="preserve">
IF(OR(ISBLANK(V92),ISBLANK(U92),ISBLANK(W92),V92="N/A",ISBLANK('Dados da OS'!$D$8)),"",
   IF(OR('Dados da OS'!$D$8=Parâmetros!$B$3,'Dados da OS'!$D$8=Parâmetros!$B$4),
      IF(OR(AND(V92="INM",AG92&lt;&gt;"VF"),AND(AG92="VF",V92&lt;&gt;"INM")),"",
        IF(AND(V92="INM",AG92="VF"),IF(ISBLANK(AB92),"",AF92*AB92),
        IF('Dados da OS'!$D$8=Parâmetros!$B$4,
           IF(OR(V92="CE",V92="EE"),4,IF(V92="SE",5,IF(V92="ALI",7,IF(V92="AIE",5,"")))),
        IF('Dados da OS'!$D$8=Parâmetros!$B$3,
           IF(OR(ISBLANK(X92),ISBLANK(Z92)),"",
              IF(V92="ALI",IF(AE92="L",7,IF(AE92="A",10,15)),
                 IF(V92="AIE",IF(AE92="L",5,IF(AE92="A",7,10)),
                    IF(V92="SE",IF(AE92="L",4,IF(AE92="A",5,7)),
                       IF(OR(V92="EE",V92="CE"),IF(AE92="L",3,IF(AE92="A",4,6)),""))))))))),
   IF('Dados da OS'!$D$8=Parâmetros!$B$5,
      IF(OR(AND(V92="INM",AG92&lt;&gt;"VF"),AND(AG92="VF",V92&lt;&gt;"INM")),"",
         IF(V92="INM",IF(AG92="VF",AF92*AB92,""),
            IF(V92="PE",4.6,
            IF(V92="AL",7,"")))),
   IF('Dados da OS'!$D$8=Parâmetros!$B$6,
      IF(V92="ALI",35,IF(V92="AIE",15,"")),""))
    )
)</f>
        <v/>
      </c>
      <c r="AJ92" s="82" t="str">
        <f t="shared" si="16"/>
        <v/>
      </c>
      <c r="AK92" s="84"/>
      <c r="AL92" s="85" t="s">
        <v>21</v>
      </c>
      <c r="AM92" s="86"/>
      <c r="AN92" s="85"/>
      <c r="AO92" s="87"/>
      <c r="AP92" s="85"/>
      <c r="AQ92" s="86"/>
      <c r="AR92" s="85"/>
    </row>
    <row r="93" spans="1:44" ht="15.75" customHeight="1">
      <c r="A93" s="54"/>
      <c r="B93" s="100"/>
      <c r="C93" s="55"/>
      <c r="D93" s="55"/>
      <c r="E93" s="56"/>
      <c r="F93" s="55"/>
      <c r="G93" s="56"/>
      <c r="H93" s="55"/>
      <c r="I93" s="64"/>
      <c r="J93" s="57" t="str">
        <f t="shared" si="11"/>
        <v/>
      </c>
      <c r="K93" s="57" t="str">
        <f t="shared" si="12"/>
        <v/>
      </c>
      <c r="L93" s="57" t="str">
        <f xml:space="preserve">
IF(OR('Dados da OS'!$D$8=Parâmetros!$B$3,'Dados da OS'!$D$8=Parâmetros!$B$4),
  IF(OR(ISBLANK(D93),ISBLANK(F93)),
     IF(OR(B93="ALI",B93="AIE"),"L",IF(ISBLANK(B93),"","A")),
     IF(B93="EE",IF(F93&gt;=3,IF(D93&gt;=5,"H","A"),
     IF(F93&gt;=2,IF(D93&gt;=16,"H",IF(D93&lt;=4,"L","A")),IF(D93&lt;=15,"L","A"))),
     IF(OR(B93="SE",B93="CE"),IF(F93&gt;=4,IF(D93&gt;=6,"H","A"),IF(F93&gt;=2,IF(D93&gt;=20,"H",IF(D93&lt;=5,"L","A")),IF(D93&lt;=19,"L","A"))),
     IF(OR(B93="ALI",B93="AIE"),IF(F93&gt;=6,IF(D93&gt;=20,"H","A"),IF(F93&gt;=2,IF(D93&gt;=51,"H",IF(D93&lt;=19,"L","A")),IF(D93&lt;=50,"L","A"))))))),
IF('Dados da OS'!$D$8=Parâmetros!$B$6,"Indicativa",
IF('Dados da OS'!$D$8=Parâmetros!$B$5,"PFS","")))</f>
        <v/>
      </c>
      <c r="M93" s="57">
        <f>IFERROR(VLOOKUP(C93,'Fatores de Impacto e INMs'!$A$3:$D$32,3,0),1)</f>
        <v>1</v>
      </c>
      <c r="N93" s="57">
        <f>IFERROR(VLOOKUP(C93,'Fatores de Impacto e INMs'!$A$3:$E$32,5,0),1)</f>
        <v>1</v>
      </c>
      <c r="O93" s="63" t="str">
        <f xml:space="preserve">
IF(OR('Dados da OS'!$D$8="Selecione o tipo da contagem",ISBLANK('Dados da OS'!$D$8),B93="INM",B93="N/A",ISBLANK(B93),ISBLANK(C93),N93="VF"),"-",
   IF('Dados da OS'!$D$8=Parâmetros!$B$3,
      IF(OR(ISBLANK(D93),ISBLANK(F93)),"-",
         IF(L93="L","Baixa",IF(L93="A","Média",IF(L93="H","Alta","-")))),
      IF('Dados da OS'!$D$8=Parâmetros!$B$4,
         IF(OR(B93="ALI",B93="AIE"),"Baixa",IF(OR(B93="EE",B93="SE",B93="CE"),"Média","-")),
         IF(OR('Dados da OS'!$D$8=Parâmetros!$B$5,'Dados da OS'!$D$8=Parâmetros!$B$6),"-"))))</f>
        <v>-</v>
      </c>
      <c r="P93" s="59" t="str">
        <f xml:space="preserve">
IF(OR(ISBLANK(B93),ISBLANK(C93),B93="N/A",ISBLANK('Dados da OS'!$D$8)),"",
   IF(OR('Dados da OS'!$D$8=Parâmetros!$B$3,'Dados da OS'!$D$8=Parâmetros!$B$4),
      IF(OR(AND(B93="INM",N93&lt;&gt;"VF"),AND(N93="VF",B93&lt;&gt;"INM")),"",
        IF(AND(B93="INM",N93="VF"),IF(ISBLANK(H93),"",M93*H93),
        IF('Dados da OS'!$D$8=Parâmetros!$B$4,
           IF(OR(B93="CE",B93="EE"),4,IF(B93="SE",5,IF(B93="ALI",7,IF(B93="AIE",5,"")))),
        IF('Dados da OS'!$D$8=Parâmetros!$B$3,
           IF(OR(ISBLANK(D93),ISBLANK(F93)),"",
              IF(B93="ALI",IF(L93="L",7,IF(L93="A",10,15)),
                 IF(B93="AIE",IF(L93="L",5,IF(L93="A",7,10)),
                    IF(B93="SE",IF(L93="L",4,IF(L93="A",5,7)),
                       IF(OR(B93="EE",B93="CE"),IF(L93="L",3,IF(L93="A",4,6)),""))))))))),
   IF('Dados da OS'!$D$8=Parâmetros!$B$5,
      IF(OR(AND(B93="INM",N93&lt;&gt;"VF"),AND(N93="VF",B93&lt;&gt;"INM")),"",
         IF(B93="INM",IF(N93="VF",M93*H93,""),
            IF(B93="PE",4.6,
            IF(B93="AL",7,"")))),
   IF('Dados da OS'!$D$8=Parâmetros!$B$6,
      IF(B93="ALI",35,IF(B93="AIE",15,"")),""))
    )
)</f>
        <v/>
      </c>
      <c r="Q93" s="60" t="str">
        <f t="shared" si="13"/>
        <v/>
      </c>
      <c r="R93" s="61"/>
      <c r="S93" s="62"/>
      <c r="T93" s="80" t="s">
        <v>21</v>
      </c>
      <c r="U93" s="81"/>
      <c r="V93" s="99"/>
      <c r="W93" s="55"/>
      <c r="X93" s="55"/>
      <c r="Y93" s="56"/>
      <c r="Z93" s="55"/>
      <c r="AA93" s="56"/>
      <c r="AB93" s="55"/>
      <c r="AC93" s="57" t="str">
        <f t="shared" si="14"/>
        <v/>
      </c>
      <c r="AD93" s="57" t="str">
        <f t="shared" si="15"/>
        <v/>
      </c>
      <c r="AE93" s="57" t="str">
        <f xml:space="preserve">
IF(OR('Dados da OS'!$D$8=Parâmetros!$B$3,'Dados da OS'!$D$8=Parâmetros!$B$4),
  IF(OR(ISBLANK(X93),ISBLANK(Z93)),
     IF(OR(V93="ALI",V93="AIE"),"L",IF(ISBLANK(V93),"","A")),
     IF(V93="EE",IF(Z93&gt;=3,IF(X93&gt;=5,"H","A"),
     IF(Z93&gt;=2,IF(X93&gt;=16,"H",IF(X93&lt;=4,"L","A")),IF(X93&lt;=15,"L","A"))),
     IF(OR(V93="SE",V93="CE"),IF(Z93&gt;=4,IF(X93&gt;=6,"H","A"),IF(Z93&gt;=2,IF(X93&gt;=20,"H",IF(X93&lt;=5,"L","A")),IF(X93&lt;=19,"L","A"))),
     IF(OR(V93="ALI",V93="AIE"),IF(Z93&gt;=6,IF(X93&gt;=20,"H","A"),IF(Z93&gt;=2,IF(X93&gt;=51,"H",IF(X93&lt;=19,"L","A")),IF(X93&lt;=50,"L","A"))))))),
IF('Dados da OS'!$D$8=Parâmetros!$B$6,"Indicativa",
IF('Dados da OS'!$D$8=Parâmetros!$B$5,"PFS","")))</f>
        <v/>
      </c>
      <c r="AF93" s="57">
        <f>IFERROR(VLOOKUP(W93,'Fatores de Impacto e INMs'!$A$3:$D$32,3,0),1)</f>
        <v>1</v>
      </c>
      <c r="AG93" s="57">
        <f>IFERROR(VLOOKUP(W93,'Fatores de Impacto e INMs'!$A$3:$E$32,5,0),1)</f>
        <v>1</v>
      </c>
      <c r="AH93" s="82" t="str">
        <f xml:space="preserve">
IF(OR('Dados da OS'!$D$8="Selecione o tipo da contagem",ISBLANK('Dados da OS'!$D$8),V93="INM",V93="N/A",ISBLANK(V93),ISBLANK(W93),AG93="VF"),"-",
   IF('Dados da OS'!$D$8=Parâmetros!$B$3,
      IF(OR(ISBLANK(X93),ISBLANK(Z93)),"-",
         IF(AE93="L","Baixa",IF(AE93="A","Média",IF(AE93="H","Alta","-")))),
      IF('Dados da OS'!$D$8=Parâmetros!$B$4,
         IF(OR(V93="ALI",V93="AIE"),"Baixa",IF(OR(V93="EE",V93="SE",V93="CE"),"Média","-")),
         IF(OR('Dados da OS'!$D$8=Parâmetros!$B$5,'Dados da OS'!$D$8=Parâmetros!$B$6),"-"))))</f>
        <v>-</v>
      </c>
      <c r="AI93" s="83" t="str">
        <f xml:space="preserve">
IF(OR(ISBLANK(V93),ISBLANK(U93),ISBLANK(W93),V93="N/A",ISBLANK('Dados da OS'!$D$8)),"",
   IF(OR('Dados da OS'!$D$8=Parâmetros!$B$3,'Dados da OS'!$D$8=Parâmetros!$B$4),
      IF(OR(AND(V93="INM",AG93&lt;&gt;"VF"),AND(AG93="VF",V93&lt;&gt;"INM")),"",
        IF(AND(V93="INM",AG93="VF"),IF(ISBLANK(AB93),"",AF93*AB93),
        IF('Dados da OS'!$D$8=Parâmetros!$B$4,
           IF(OR(V93="CE",V93="EE"),4,IF(V93="SE",5,IF(V93="ALI",7,IF(V93="AIE",5,"")))),
        IF('Dados da OS'!$D$8=Parâmetros!$B$3,
           IF(OR(ISBLANK(X93),ISBLANK(Z93)),"",
              IF(V93="ALI",IF(AE93="L",7,IF(AE93="A",10,15)),
                 IF(V93="AIE",IF(AE93="L",5,IF(AE93="A",7,10)),
                    IF(V93="SE",IF(AE93="L",4,IF(AE93="A",5,7)),
                       IF(OR(V93="EE",V93="CE"),IF(AE93="L",3,IF(AE93="A",4,6)),""))))))))),
   IF('Dados da OS'!$D$8=Parâmetros!$B$5,
      IF(OR(AND(V93="INM",AG93&lt;&gt;"VF"),AND(AG93="VF",V93&lt;&gt;"INM")),"",
         IF(V93="INM",IF(AG93="VF",AF93*AB93,""),
            IF(V93="PE",4.6,
            IF(V93="AL",7,"")))),
   IF('Dados da OS'!$D$8=Parâmetros!$B$6,
      IF(V93="ALI",35,IF(V93="AIE",15,"")),""))
    )
)</f>
        <v/>
      </c>
      <c r="AJ93" s="82" t="str">
        <f t="shared" si="16"/>
        <v/>
      </c>
      <c r="AK93" s="84"/>
      <c r="AL93" s="85" t="s">
        <v>21</v>
      </c>
      <c r="AM93" s="86"/>
      <c r="AN93" s="85"/>
      <c r="AO93" s="87"/>
      <c r="AP93" s="85"/>
      <c r="AQ93" s="86"/>
      <c r="AR93" s="85"/>
    </row>
    <row r="94" spans="1:44" ht="15.75" customHeight="1">
      <c r="A94" s="54"/>
      <c r="B94" s="100"/>
      <c r="C94" s="55"/>
      <c r="D94" s="55"/>
      <c r="E94" s="56"/>
      <c r="F94" s="55"/>
      <c r="G94" s="56"/>
      <c r="H94" s="55"/>
      <c r="I94" s="64"/>
      <c r="J94" s="57" t="str">
        <f t="shared" si="11"/>
        <v/>
      </c>
      <c r="K94" s="57" t="str">
        <f t="shared" si="12"/>
        <v/>
      </c>
      <c r="L94" s="57" t="str">
        <f xml:space="preserve">
IF(OR('Dados da OS'!$D$8=Parâmetros!$B$3,'Dados da OS'!$D$8=Parâmetros!$B$4),
  IF(OR(ISBLANK(D94),ISBLANK(F94)),
     IF(OR(B94="ALI",B94="AIE"),"L",IF(ISBLANK(B94),"","A")),
     IF(B94="EE",IF(F94&gt;=3,IF(D94&gt;=5,"H","A"),
     IF(F94&gt;=2,IF(D94&gt;=16,"H",IF(D94&lt;=4,"L","A")),IF(D94&lt;=15,"L","A"))),
     IF(OR(B94="SE",B94="CE"),IF(F94&gt;=4,IF(D94&gt;=6,"H","A"),IF(F94&gt;=2,IF(D94&gt;=20,"H",IF(D94&lt;=5,"L","A")),IF(D94&lt;=19,"L","A"))),
     IF(OR(B94="ALI",B94="AIE"),IF(F94&gt;=6,IF(D94&gt;=20,"H","A"),IF(F94&gt;=2,IF(D94&gt;=51,"H",IF(D94&lt;=19,"L","A")),IF(D94&lt;=50,"L","A"))))))),
IF('Dados da OS'!$D$8=Parâmetros!$B$6,"Indicativa",
IF('Dados da OS'!$D$8=Parâmetros!$B$5,"PFS","")))</f>
        <v/>
      </c>
      <c r="M94" s="57">
        <f>IFERROR(VLOOKUP(C94,'Fatores de Impacto e INMs'!$A$3:$D$32,3,0),1)</f>
        <v>1</v>
      </c>
      <c r="N94" s="57">
        <f>IFERROR(VLOOKUP(C94,'Fatores de Impacto e INMs'!$A$3:$E$32,5,0),1)</f>
        <v>1</v>
      </c>
      <c r="O94" s="63" t="str">
        <f xml:space="preserve">
IF(OR('Dados da OS'!$D$8="Selecione o tipo da contagem",ISBLANK('Dados da OS'!$D$8),B94="INM",B94="N/A",ISBLANK(B94),ISBLANK(C94),N94="VF"),"-",
   IF('Dados da OS'!$D$8=Parâmetros!$B$3,
      IF(OR(ISBLANK(D94),ISBLANK(F94)),"-",
         IF(L94="L","Baixa",IF(L94="A","Média",IF(L94="H","Alta","-")))),
      IF('Dados da OS'!$D$8=Parâmetros!$B$4,
         IF(OR(B94="ALI",B94="AIE"),"Baixa",IF(OR(B94="EE",B94="SE",B94="CE"),"Média","-")),
         IF(OR('Dados da OS'!$D$8=Parâmetros!$B$5,'Dados da OS'!$D$8=Parâmetros!$B$6),"-"))))</f>
        <v>-</v>
      </c>
      <c r="P94" s="59" t="str">
        <f xml:space="preserve">
IF(OR(ISBLANK(B94),ISBLANK(C94),B94="N/A",ISBLANK('Dados da OS'!$D$8)),"",
   IF(OR('Dados da OS'!$D$8=Parâmetros!$B$3,'Dados da OS'!$D$8=Parâmetros!$B$4),
      IF(OR(AND(B94="INM",N94&lt;&gt;"VF"),AND(N94="VF",B94&lt;&gt;"INM")),"",
        IF(AND(B94="INM",N94="VF"),IF(ISBLANK(H94),"",M94*H94),
        IF('Dados da OS'!$D$8=Parâmetros!$B$4,
           IF(OR(B94="CE",B94="EE"),4,IF(B94="SE",5,IF(B94="ALI",7,IF(B94="AIE",5,"")))),
        IF('Dados da OS'!$D$8=Parâmetros!$B$3,
           IF(OR(ISBLANK(D94),ISBLANK(F94)),"",
              IF(B94="ALI",IF(L94="L",7,IF(L94="A",10,15)),
                 IF(B94="AIE",IF(L94="L",5,IF(L94="A",7,10)),
                    IF(B94="SE",IF(L94="L",4,IF(L94="A",5,7)),
                       IF(OR(B94="EE",B94="CE"),IF(L94="L",3,IF(L94="A",4,6)),""))))))))),
   IF('Dados da OS'!$D$8=Parâmetros!$B$5,
      IF(OR(AND(B94="INM",N94&lt;&gt;"VF"),AND(N94="VF",B94&lt;&gt;"INM")),"",
         IF(B94="INM",IF(N94="VF",M94*H94,""),
            IF(B94="PE",4.6,
            IF(B94="AL",7,"")))),
   IF('Dados da OS'!$D$8=Parâmetros!$B$6,
      IF(B94="ALI",35,IF(B94="AIE",15,"")),""))
    )
)</f>
        <v/>
      </c>
      <c r="Q94" s="60" t="str">
        <f t="shared" si="13"/>
        <v/>
      </c>
      <c r="R94" s="61"/>
      <c r="S94" s="62"/>
      <c r="T94" s="80" t="s">
        <v>21</v>
      </c>
      <c r="U94" s="81"/>
      <c r="V94" s="99"/>
      <c r="W94" s="55"/>
      <c r="X94" s="55"/>
      <c r="Y94" s="56"/>
      <c r="Z94" s="55"/>
      <c r="AA94" s="56"/>
      <c r="AB94" s="55"/>
      <c r="AC94" s="57" t="str">
        <f t="shared" si="14"/>
        <v/>
      </c>
      <c r="AD94" s="57" t="str">
        <f t="shared" si="15"/>
        <v/>
      </c>
      <c r="AE94" s="57" t="str">
        <f xml:space="preserve">
IF(OR('Dados da OS'!$D$8=Parâmetros!$B$3,'Dados da OS'!$D$8=Parâmetros!$B$4),
  IF(OR(ISBLANK(X94),ISBLANK(Z94)),
     IF(OR(V94="ALI",V94="AIE"),"L",IF(ISBLANK(V94),"","A")),
     IF(V94="EE",IF(Z94&gt;=3,IF(X94&gt;=5,"H","A"),
     IF(Z94&gt;=2,IF(X94&gt;=16,"H",IF(X94&lt;=4,"L","A")),IF(X94&lt;=15,"L","A"))),
     IF(OR(V94="SE",V94="CE"),IF(Z94&gt;=4,IF(X94&gt;=6,"H","A"),IF(Z94&gt;=2,IF(X94&gt;=20,"H",IF(X94&lt;=5,"L","A")),IF(X94&lt;=19,"L","A"))),
     IF(OR(V94="ALI",V94="AIE"),IF(Z94&gt;=6,IF(X94&gt;=20,"H","A"),IF(Z94&gt;=2,IF(X94&gt;=51,"H",IF(X94&lt;=19,"L","A")),IF(X94&lt;=50,"L","A"))))))),
IF('Dados da OS'!$D$8=Parâmetros!$B$6,"Indicativa",
IF('Dados da OS'!$D$8=Parâmetros!$B$5,"PFS","")))</f>
        <v/>
      </c>
      <c r="AF94" s="57">
        <f>IFERROR(VLOOKUP(W94,'Fatores de Impacto e INMs'!$A$3:$D$32,3,0),1)</f>
        <v>1</v>
      </c>
      <c r="AG94" s="57">
        <f>IFERROR(VLOOKUP(W94,'Fatores de Impacto e INMs'!$A$3:$E$32,5,0),1)</f>
        <v>1</v>
      </c>
      <c r="AH94" s="82" t="str">
        <f xml:space="preserve">
IF(OR('Dados da OS'!$D$8="Selecione o tipo da contagem",ISBLANK('Dados da OS'!$D$8),V94="INM",V94="N/A",ISBLANK(V94),ISBLANK(W94),AG94="VF"),"-",
   IF('Dados da OS'!$D$8=Parâmetros!$B$3,
      IF(OR(ISBLANK(X94),ISBLANK(Z94)),"-",
         IF(AE94="L","Baixa",IF(AE94="A","Média",IF(AE94="H","Alta","-")))),
      IF('Dados da OS'!$D$8=Parâmetros!$B$4,
         IF(OR(V94="ALI",V94="AIE"),"Baixa",IF(OR(V94="EE",V94="SE",V94="CE"),"Média","-")),
         IF(OR('Dados da OS'!$D$8=Parâmetros!$B$5,'Dados da OS'!$D$8=Parâmetros!$B$6),"-"))))</f>
        <v>-</v>
      </c>
      <c r="AI94" s="83" t="str">
        <f xml:space="preserve">
IF(OR(ISBLANK(V94),ISBLANK(U94),ISBLANK(W94),V94="N/A",ISBLANK('Dados da OS'!$D$8)),"",
   IF(OR('Dados da OS'!$D$8=Parâmetros!$B$3,'Dados da OS'!$D$8=Parâmetros!$B$4),
      IF(OR(AND(V94="INM",AG94&lt;&gt;"VF"),AND(AG94="VF",V94&lt;&gt;"INM")),"",
        IF(AND(V94="INM",AG94="VF"),IF(ISBLANK(AB94),"",AF94*AB94),
        IF('Dados da OS'!$D$8=Parâmetros!$B$4,
           IF(OR(V94="CE",V94="EE"),4,IF(V94="SE",5,IF(V94="ALI",7,IF(V94="AIE",5,"")))),
        IF('Dados da OS'!$D$8=Parâmetros!$B$3,
           IF(OR(ISBLANK(X94),ISBLANK(Z94)),"",
              IF(V94="ALI",IF(AE94="L",7,IF(AE94="A",10,15)),
                 IF(V94="AIE",IF(AE94="L",5,IF(AE94="A",7,10)),
                    IF(V94="SE",IF(AE94="L",4,IF(AE94="A",5,7)),
                       IF(OR(V94="EE",V94="CE"),IF(AE94="L",3,IF(AE94="A",4,6)),""))))))))),
   IF('Dados da OS'!$D$8=Parâmetros!$B$5,
      IF(OR(AND(V94="INM",AG94&lt;&gt;"VF"),AND(AG94="VF",V94&lt;&gt;"INM")),"",
         IF(V94="INM",IF(AG94="VF",AF94*AB94,""),
            IF(V94="PE",4.6,
            IF(V94="AL",7,"")))),
   IF('Dados da OS'!$D$8=Parâmetros!$B$6,
      IF(V94="ALI",35,IF(V94="AIE",15,"")),""))
    )
)</f>
        <v/>
      </c>
      <c r="AJ94" s="82" t="str">
        <f t="shared" si="16"/>
        <v/>
      </c>
      <c r="AK94" s="84"/>
      <c r="AL94" s="85" t="s">
        <v>21</v>
      </c>
      <c r="AM94" s="86"/>
      <c r="AN94" s="85"/>
      <c r="AO94" s="87"/>
      <c r="AP94" s="85"/>
      <c r="AQ94" s="86"/>
      <c r="AR94" s="85"/>
    </row>
    <row r="95" spans="1:44" ht="15.75" customHeight="1">
      <c r="A95" s="54"/>
      <c r="B95" s="100"/>
      <c r="C95" s="55"/>
      <c r="D95" s="55"/>
      <c r="E95" s="56"/>
      <c r="F95" s="55"/>
      <c r="G95" s="56"/>
      <c r="H95" s="55"/>
      <c r="I95" s="64"/>
      <c r="J95" s="57" t="str">
        <f t="shared" si="11"/>
        <v/>
      </c>
      <c r="K95" s="57" t="str">
        <f t="shared" si="12"/>
        <v/>
      </c>
      <c r="L95" s="57" t="str">
        <f xml:space="preserve">
IF(OR('Dados da OS'!$D$8=Parâmetros!$B$3,'Dados da OS'!$D$8=Parâmetros!$B$4),
  IF(OR(ISBLANK(D95),ISBLANK(F95)),
     IF(OR(B95="ALI",B95="AIE"),"L",IF(ISBLANK(B95),"","A")),
     IF(B95="EE",IF(F95&gt;=3,IF(D95&gt;=5,"H","A"),
     IF(F95&gt;=2,IF(D95&gt;=16,"H",IF(D95&lt;=4,"L","A")),IF(D95&lt;=15,"L","A"))),
     IF(OR(B95="SE",B95="CE"),IF(F95&gt;=4,IF(D95&gt;=6,"H","A"),IF(F95&gt;=2,IF(D95&gt;=20,"H",IF(D95&lt;=5,"L","A")),IF(D95&lt;=19,"L","A"))),
     IF(OR(B95="ALI",B95="AIE"),IF(F95&gt;=6,IF(D95&gt;=20,"H","A"),IF(F95&gt;=2,IF(D95&gt;=51,"H",IF(D95&lt;=19,"L","A")),IF(D95&lt;=50,"L","A"))))))),
IF('Dados da OS'!$D$8=Parâmetros!$B$6,"Indicativa",
IF('Dados da OS'!$D$8=Parâmetros!$B$5,"PFS","")))</f>
        <v/>
      </c>
      <c r="M95" s="57">
        <f>IFERROR(VLOOKUP(C95,'Fatores de Impacto e INMs'!$A$3:$D$32,3,0),1)</f>
        <v>1</v>
      </c>
      <c r="N95" s="57">
        <f>IFERROR(VLOOKUP(C95,'Fatores de Impacto e INMs'!$A$3:$E$32,5,0),1)</f>
        <v>1</v>
      </c>
      <c r="O95" s="63" t="str">
        <f xml:space="preserve">
IF(OR('Dados da OS'!$D$8="Selecione o tipo da contagem",ISBLANK('Dados da OS'!$D$8),B95="INM",B95="N/A",ISBLANK(B95),ISBLANK(C95),N95="VF"),"-",
   IF('Dados da OS'!$D$8=Parâmetros!$B$3,
      IF(OR(ISBLANK(D95),ISBLANK(F95)),"-",
         IF(L95="L","Baixa",IF(L95="A","Média",IF(L95="H","Alta","-")))),
      IF('Dados da OS'!$D$8=Parâmetros!$B$4,
         IF(OR(B95="ALI",B95="AIE"),"Baixa",IF(OR(B95="EE",B95="SE",B95="CE"),"Média","-")),
         IF(OR('Dados da OS'!$D$8=Parâmetros!$B$5,'Dados da OS'!$D$8=Parâmetros!$B$6),"-"))))</f>
        <v>-</v>
      </c>
      <c r="P95" s="59" t="str">
        <f xml:space="preserve">
IF(OR(ISBLANK(B95),ISBLANK(C95),B95="N/A",ISBLANK('Dados da OS'!$D$8)),"",
   IF(OR('Dados da OS'!$D$8=Parâmetros!$B$3,'Dados da OS'!$D$8=Parâmetros!$B$4),
      IF(OR(AND(B95="INM",N95&lt;&gt;"VF"),AND(N95="VF",B95&lt;&gt;"INM")),"",
        IF(AND(B95="INM",N95="VF"),IF(ISBLANK(H95),"",M95*H95),
        IF('Dados da OS'!$D$8=Parâmetros!$B$4,
           IF(OR(B95="CE",B95="EE"),4,IF(B95="SE",5,IF(B95="ALI",7,IF(B95="AIE",5,"")))),
        IF('Dados da OS'!$D$8=Parâmetros!$B$3,
           IF(OR(ISBLANK(D95),ISBLANK(F95)),"",
              IF(B95="ALI",IF(L95="L",7,IF(L95="A",10,15)),
                 IF(B95="AIE",IF(L95="L",5,IF(L95="A",7,10)),
                    IF(B95="SE",IF(L95="L",4,IF(L95="A",5,7)),
                       IF(OR(B95="EE",B95="CE"),IF(L95="L",3,IF(L95="A",4,6)),""))))))))),
   IF('Dados da OS'!$D$8=Parâmetros!$B$5,
      IF(OR(AND(B95="INM",N95&lt;&gt;"VF"),AND(N95="VF",B95&lt;&gt;"INM")),"",
         IF(B95="INM",IF(N95="VF",M95*H95,""),
            IF(B95="PE",4.6,
            IF(B95="AL",7,"")))),
   IF('Dados da OS'!$D$8=Parâmetros!$B$6,
      IF(B95="ALI",35,IF(B95="AIE",15,"")),""))
    )
)</f>
        <v/>
      </c>
      <c r="Q95" s="60" t="str">
        <f t="shared" si="13"/>
        <v/>
      </c>
      <c r="R95" s="61"/>
      <c r="S95" s="62"/>
      <c r="T95" s="80" t="s">
        <v>21</v>
      </c>
      <c r="U95" s="81"/>
      <c r="V95" s="99"/>
      <c r="W95" s="55"/>
      <c r="X95" s="55"/>
      <c r="Y95" s="56"/>
      <c r="Z95" s="55"/>
      <c r="AA95" s="56"/>
      <c r="AB95" s="55"/>
      <c r="AC95" s="57" t="str">
        <f t="shared" si="14"/>
        <v/>
      </c>
      <c r="AD95" s="57" t="str">
        <f t="shared" si="15"/>
        <v/>
      </c>
      <c r="AE95" s="57" t="str">
        <f xml:space="preserve">
IF(OR('Dados da OS'!$D$8=Parâmetros!$B$3,'Dados da OS'!$D$8=Parâmetros!$B$4),
  IF(OR(ISBLANK(X95),ISBLANK(Z95)),
     IF(OR(V95="ALI",V95="AIE"),"L",IF(ISBLANK(V95),"","A")),
     IF(V95="EE",IF(Z95&gt;=3,IF(X95&gt;=5,"H","A"),
     IF(Z95&gt;=2,IF(X95&gt;=16,"H",IF(X95&lt;=4,"L","A")),IF(X95&lt;=15,"L","A"))),
     IF(OR(V95="SE",V95="CE"),IF(Z95&gt;=4,IF(X95&gt;=6,"H","A"),IF(Z95&gt;=2,IF(X95&gt;=20,"H",IF(X95&lt;=5,"L","A")),IF(X95&lt;=19,"L","A"))),
     IF(OR(V95="ALI",V95="AIE"),IF(Z95&gt;=6,IF(X95&gt;=20,"H","A"),IF(Z95&gt;=2,IF(X95&gt;=51,"H",IF(X95&lt;=19,"L","A")),IF(X95&lt;=50,"L","A"))))))),
IF('Dados da OS'!$D$8=Parâmetros!$B$6,"Indicativa",
IF('Dados da OS'!$D$8=Parâmetros!$B$5,"PFS","")))</f>
        <v/>
      </c>
      <c r="AF95" s="57">
        <f>IFERROR(VLOOKUP(W95,'Fatores de Impacto e INMs'!$A$3:$D$32,3,0),1)</f>
        <v>1</v>
      </c>
      <c r="AG95" s="57">
        <f>IFERROR(VLOOKUP(W95,'Fatores de Impacto e INMs'!$A$3:$E$32,5,0),1)</f>
        <v>1</v>
      </c>
      <c r="AH95" s="82" t="str">
        <f xml:space="preserve">
IF(OR('Dados da OS'!$D$8="Selecione o tipo da contagem",ISBLANK('Dados da OS'!$D$8),V95="INM",V95="N/A",ISBLANK(V95),ISBLANK(W95),AG95="VF"),"-",
   IF('Dados da OS'!$D$8=Parâmetros!$B$3,
      IF(OR(ISBLANK(X95),ISBLANK(Z95)),"-",
         IF(AE95="L","Baixa",IF(AE95="A","Média",IF(AE95="H","Alta","-")))),
      IF('Dados da OS'!$D$8=Parâmetros!$B$4,
         IF(OR(V95="ALI",V95="AIE"),"Baixa",IF(OR(V95="EE",V95="SE",V95="CE"),"Média","-")),
         IF(OR('Dados da OS'!$D$8=Parâmetros!$B$5,'Dados da OS'!$D$8=Parâmetros!$B$6),"-"))))</f>
        <v>-</v>
      </c>
      <c r="AI95" s="83" t="str">
        <f xml:space="preserve">
IF(OR(ISBLANK(V95),ISBLANK(U95),ISBLANK(W95),V95="N/A",ISBLANK('Dados da OS'!$D$8)),"",
   IF(OR('Dados da OS'!$D$8=Parâmetros!$B$3,'Dados da OS'!$D$8=Parâmetros!$B$4),
      IF(OR(AND(V95="INM",AG95&lt;&gt;"VF"),AND(AG95="VF",V95&lt;&gt;"INM")),"",
        IF(AND(V95="INM",AG95="VF"),IF(ISBLANK(AB95),"",AF95*AB95),
        IF('Dados da OS'!$D$8=Parâmetros!$B$4,
           IF(OR(V95="CE",V95="EE"),4,IF(V95="SE",5,IF(V95="ALI",7,IF(V95="AIE",5,"")))),
        IF('Dados da OS'!$D$8=Parâmetros!$B$3,
           IF(OR(ISBLANK(X95),ISBLANK(Z95)),"",
              IF(V95="ALI",IF(AE95="L",7,IF(AE95="A",10,15)),
                 IF(V95="AIE",IF(AE95="L",5,IF(AE95="A",7,10)),
                    IF(V95="SE",IF(AE95="L",4,IF(AE95="A",5,7)),
                       IF(OR(V95="EE",V95="CE"),IF(AE95="L",3,IF(AE95="A",4,6)),""))))))))),
   IF('Dados da OS'!$D$8=Parâmetros!$B$5,
      IF(OR(AND(V95="INM",AG95&lt;&gt;"VF"),AND(AG95="VF",V95&lt;&gt;"INM")),"",
         IF(V95="INM",IF(AG95="VF",AF95*AB95,""),
            IF(V95="PE",4.6,
            IF(V95="AL",7,"")))),
   IF('Dados da OS'!$D$8=Parâmetros!$B$6,
      IF(V95="ALI",35,IF(V95="AIE",15,"")),""))
    )
)</f>
        <v/>
      </c>
      <c r="AJ95" s="82" t="str">
        <f t="shared" si="16"/>
        <v/>
      </c>
      <c r="AK95" s="84"/>
      <c r="AL95" s="85" t="s">
        <v>21</v>
      </c>
      <c r="AM95" s="86"/>
      <c r="AN95" s="85"/>
      <c r="AO95" s="87"/>
      <c r="AP95" s="85"/>
      <c r="AQ95" s="86"/>
      <c r="AR95" s="85"/>
    </row>
    <row r="96" spans="1:44" ht="15.75" customHeight="1">
      <c r="A96" s="54"/>
      <c r="B96" s="100"/>
      <c r="C96" s="55"/>
      <c r="D96" s="55"/>
      <c r="E96" s="56"/>
      <c r="F96" s="55"/>
      <c r="G96" s="56"/>
      <c r="H96" s="55"/>
      <c r="I96" s="64"/>
      <c r="J96" s="57" t="str">
        <f t="shared" si="11"/>
        <v/>
      </c>
      <c r="K96" s="57" t="str">
        <f t="shared" si="12"/>
        <v/>
      </c>
      <c r="L96" s="57" t="str">
        <f xml:space="preserve">
IF(OR('Dados da OS'!$D$8=Parâmetros!$B$3,'Dados da OS'!$D$8=Parâmetros!$B$4),
  IF(OR(ISBLANK(D96),ISBLANK(F96)),
     IF(OR(B96="ALI",B96="AIE"),"L",IF(ISBLANK(B96),"","A")),
     IF(B96="EE",IF(F96&gt;=3,IF(D96&gt;=5,"H","A"),
     IF(F96&gt;=2,IF(D96&gt;=16,"H",IF(D96&lt;=4,"L","A")),IF(D96&lt;=15,"L","A"))),
     IF(OR(B96="SE",B96="CE"),IF(F96&gt;=4,IF(D96&gt;=6,"H","A"),IF(F96&gt;=2,IF(D96&gt;=20,"H",IF(D96&lt;=5,"L","A")),IF(D96&lt;=19,"L","A"))),
     IF(OR(B96="ALI",B96="AIE"),IF(F96&gt;=6,IF(D96&gt;=20,"H","A"),IF(F96&gt;=2,IF(D96&gt;=51,"H",IF(D96&lt;=19,"L","A")),IF(D96&lt;=50,"L","A"))))))),
IF('Dados da OS'!$D$8=Parâmetros!$B$6,"Indicativa",
IF('Dados da OS'!$D$8=Parâmetros!$B$5,"PFS","")))</f>
        <v/>
      </c>
      <c r="M96" s="57">
        <f>IFERROR(VLOOKUP(C96,'Fatores de Impacto e INMs'!$A$3:$D$32,3,0),1)</f>
        <v>1</v>
      </c>
      <c r="N96" s="57">
        <f>IFERROR(VLOOKUP(C96,'Fatores de Impacto e INMs'!$A$3:$E$32,5,0),1)</f>
        <v>1</v>
      </c>
      <c r="O96" s="63" t="str">
        <f xml:space="preserve">
IF(OR('Dados da OS'!$D$8="Selecione o tipo da contagem",ISBLANK('Dados da OS'!$D$8),B96="INM",B96="N/A",ISBLANK(B96),ISBLANK(C96),N96="VF"),"-",
   IF('Dados da OS'!$D$8=Parâmetros!$B$3,
      IF(OR(ISBLANK(D96),ISBLANK(F96)),"-",
         IF(L96="L","Baixa",IF(L96="A","Média",IF(L96="H","Alta","-")))),
      IF('Dados da OS'!$D$8=Parâmetros!$B$4,
         IF(OR(B96="ALI",B96="AIE"),"Baixa",IF(OR(B96="EE",B96="SE",B96="CE"),"Média","-")),
         IF(OR('Dados da OS'!$D$8=Parâmetros!$B$5,'Dados da OS'!$D$8=Parâmetros!$B$6),"-"))))</f>
        <v>-</v>
      </c>
      <c r="P96" s="59" t="str">
        <f xml:space="preserve">
IF(OR(ISBLANK(B96),ISBLANK(C96),B96="N/A",ISBLANK('Dados da OS'!$D$8)),"",
   IF(OR('Dados da OS'!$D$8=Parâmetros!$B$3,'Dados da OS'!$D$8=Parâmetros!$B$4),
      IF(OR(AND(B96="INM",N96&lt;&gt;"VF"),AND(N96="VF",B96&lt;&gt;"INM")),"",
        IF(AND(B96="INM",N96="VF"),IF(ISBLANK(H96),"",M96*H96),
        IF('Dados da OS'!$D$8=Parâmetros!$B$4,
           IF(OR(B96="CE",B96="EE"),4,IF(B96="SE",5,IF(B96="ALI",7,IF(B96="AIE",5,"")))),
        IF('Dados da OS'!$D$8=Parâmetros!$B$3,
           IF(OR(ISBLANK(D96),ISBLANK(F96)),"",
              IF(B96="ALI",IF(L96="L",7,IF(L96="A",10,15)),
                 IF(B96="AIE",IF(L96="L",5,IF(L96="A",7,10)),
                    IF(B96="SE",IF(L96="L",4,IF(L96="A",5,7)),
                       IF(OR(B96="EE",B96="CE"),IF(L96="L",3,IF(L96="A",4,6)),""))))))))),
   IF('Dados da OS'!$D$8=Parâmetros!$B$5,
      IF(OR(AND(B96="INM",N96&lt;&gt;"VF"),AND(N96="VF",B96&lt;&gt;"INM")),"",
         IF(B96="INM",IF(N96="VF",M96*H96,""),
            IF(B96="PE",4.6,
            IF(B96="AL",7,"")))),
   IF('Dados da OS'!$D$8=Parâmetros!$B$6,
      IF(B96="ALI",35,IF(B96="AIE",15,"")),""))
    )
)</f>
        <v/>
      </c>
      <c r="Q96" s="60" t="str">
        <f t="shared" si="13"/>
        <v/>
      </c>
      <c r="R96" s="61"/>
      <c r="S96" s="62"/>
      <c r="T96" s="80" t="s">
        <v>21</v>
      </c>
      <c r="U96" s="81"/>
      <c r="V96" s="99"/>
      <c r="W96" s="55"/>
      <c r="X96" s="55"/>
      <c r="Y96" s="56"/>
      <c r="Z96" s="55"/>
      <c r="AA96" s="56"/>
      <c r="AB96" s="55"/>
      <c r="AC96" s="57" t="str">
        <f t="shared" si="14"/>
        <v/>
      </c>
      <c r="AD96" s="57" t="str">
        <f t="shared" si="15"/>
        <v/>
      </c>
      <c r="AE96" s="57" t="str">
        <f xml:space="preserve">
IF(OR('Dados da OS'!$D$8=Parâmetros!$B$3,'Dados da OS'!$D$8=Parâmetros!$B$4),
  IF(OR(ISBLANK(X96),ISBLANK(Z96)),
     IF(OR(V96="ALI",V96="AIE"),"L",IF(ISBLANK(V96),"","A")),
     IF(V96="EE",IF(Z96&gt;=3,IF(X96&gt;=5,"H","A"),
     IF(Z96&gt;=2,IF(X96&gt;=16,"H",IF(X96&lt;=4,"L","A")),IF(X96&lt;=15,"L","A"))),
     IF(OR(V96="SE",V96="CE"),IF(Z96&gt;=4,IF(X96&gt;=6,"H","A"),IF(Z96&gt;=2,IF(X96&gt;=20,"H",IF(X96&lt;=5,"L","A")),IF(X96&lt;=19,"L","A"))),
     IF(OR(V96="ALI",V96="AIE"),IF(Z96&gt;=6,IF(X96&gt;=20,"H","A"),IF(Z96&gt;=2,IF(X96&gt;=51,"H",IF(X96&lt;=19,"L","A")),IF(X96&lt;=50,"L","A"))))))),
IF('Dados da OS'!$D$8=Parâmetros!$B$6,"Indicativa",
IF('Dados da OS'!$D$8=Parâmetros!$B$5,"PFS","")))</f>
        <v/>
      </c>
      <c r="AF96" s="57">
        <f>IFERROR(VLOOKUP(W96,'Fatores de Impacto e INMs'!$A$3:$D$32,3,0),1)</f>
        <v>1</v>
      </c>
      <c r="AG96" s="57">
        <f>IFERROR(VLOOKUP(W96,'Fatores de Impacto e INMs'!$A$3:$E$32,5,0),1)</f>
        <v>1</v>
      </c>
      <c r="AH96" s="82" t="str">
        <f xml:space="preserve">
IF(OR('Dados da OS'!$D$8="Selecione o tipo da contagem",ISBLANK('Dados da OS'!$D$8),V96="INM",V96="N/A",ISBLANK(V96),ISBLANK(W96),AG96="VF"),"-",
   IF('Dados da OS'!$D$8=Parâmetros!$B$3,
      IF(OR(ISBLANK(X96),ISBLANK(Z96)),"-",
         IF(AE96="L","Baixa",IF(AE96="A","Média",IF(AE96="H","Alta","-")))),
      IF('Dados da OS'!$D$8=Parâmetros!$B$4,
         IF(OR(V96="ALI",V96="AIE"),"Baixa",IF(OR(V96="EE",V96="SE",V96="CE"),"Média","-")),
         IF(OR('Dados da OS'!$D$8=Parâmetros!$B$5,'Dados da OS'!$D$8=Parâmetros!$B$6),"-"))))</f>
        <v>-</v>
      </c>
      <c r="AI96" s="83" t="str">
        <f xml:space="preserve">
IF(OR(ISBLANK(V96),ISBLANK(U96),ISBLANK(W96),V96="N/A",ISBLANK('Dados da OS'!$D$8)),"",
   IF(OR('Dados da OS'!$D$8=Parâmetros!$B$3,'Dados da OS'!$D$8=Parâmetros!$B$4),
      IF(OR(AND(V96="INM",AG96&lt;&gt;"VF"),AND(AG96="VF",V96&lt;&gt;"INM")),"",
        IF(AND(V96="INM",AG96="VF"),IF(ISBLANK(AB96),"",AF96*AB96),
        IF('Dados da OS'!$D$8=Parâmetros!$B$4,
           IF(OR(V96="CE",V96="EE"),4,IF(V96="SE",5,IF(V96="ALI",7,IF(V96="AIE",5,"")))),
        IF('Dados da OS'!$D$8=Parâmetros!$B$3,
           IF(OR(ISBLANK(X96),ISBLANK(Z96)),"",
              IF(V96="ALI",IF(AE96="L",7,IF(AE96="A",10,15)),
                 IF(V96="AIE",IF(AE96="L",5,IF(AE96="A",7,10)),
                    IF(V96="SE",IF(AE96="L",4,IF(AE96="A",5,7)),
                       IF(OR(V96="EE",V96="CE"),IF(AE96="L",3,IF(AE96="A",4,6)),""))))))))),
   IF('Dados da OS'!$D$8=Parâmetros!$B$5,
      IF(OR(AND(V96="INM",AG96&lt;&gt;"VF"),AND(AG96="VF",V96&lt;&gt;"INM")),"",
         IF(V96="INM",IF(AG96="VF",AF96*AB96,""),
            IF(V96="PE",4.6,
            IF(V96="AL",7,"")))),
   IF('Dados da OS'!$D$8=Parâmetros!$B$6,
      IF(V96="ALI",35,IF(V96="AIE",15,"")),""))
    )
)</f>
        <v/>
      </c>
      <c r="AJ96" s="82" t="str">
        <f t="shared" si="16"/>
        <v/>
      </c>
      <c r="AK96" s="84"/>
      <c r="AL96" s="85" t="s">
        <v>21</v>
      </c>
      <c r="AM96" s="86"/>
      <c r="AN96" s="85"/>
      <c r="AO96" s="87"/>
      <c r="AP96" s="85"/>
      <c r="AQ96" s="86"/>
      <c r="AR96" s="85"/>
    </row>
    <row r="97" spans="1:44" ht="15.75" customHeight="1">
      <c r="A97" s="54"/>
      <c r="B97" s="100"/>
      <c r="C97" s="55"/>
      <c r="D97" s="55"/>
      <c r="E97" s="56"/>
      <c r="F97" s="55"/>
      <c r="G97" s="56"/>
      <c r="H97" s="55"/>
      <c r="I97" s="64"/>
      <c r="J97" s="57" t="str">
        <f t="shared" si="11"/>
        <v/>
      </c>
      <c r="K97" s="57" t="str">
        <f t="shared" si="12"/>
        <v/>
      </c>
      <c r="L97" s="57" t="str">
        <f xml:space="preserve">
IF(OR('Dados da OS'!$D$8=Parâmetros!$B$3,'Dados da OS'!$D$8=Parâmetros!$B$4),
  IF(OR(ISBLANK(D97),ISBLANK(F97)),
     IF(OR(B97="ALI",B97="AIE"),"L",IF(ISBLANK(B97),"","A")),
     IF(B97="EE",IF(F97&gt;=3,IF(D97&gt;=5,"H","A"),
     IF(F97&gt;=2,IF(D97&gt;=16,"H",IF(D97&lt;=4,"L","A")),IF(D97&lt;=15,"L","A"))),
     IF(OR(B97="SE",B97="CE"),IF(F97&gt;=4,IF(D97&gt;=6,"H","A"),IF(F97&gt;=2,IF(D97&gt;=20,"H",IF(D97&lt;=5,"L","A")),IF(D97&lt;=19,"L","A"))),
     IF(OR(B97="ALI",B97="AIE"),IF(F97&gt;=6,IF(D97&gt;=20,"H","A"),IF(F97&gt;=2,IF(D97&gt;=51,"H",IF(D97&lt;=19,"L","A")),IF(D97&lt;=50,"L","A"))))))),
IF('Dados da OS'!$D$8=Parâmetros!$B$6,"Indicativa",
IF('Dados da OS'!$D$8=Parâmetros!$B$5,"PFS","")))</f>
        <v/>
      </c>
      <c r="M97" s="57">
        <f>IFERROR(VLOOKUP(C97,'Fatores de Impacto e INMs'!$A$3:$D$32,3,0),1)</f>
        <v>1</v>
      </c>
      <c r="N97" s="57">
        <f>IFERROR(VLOOKUP(C97,'Fatores de Impacto e INMs'!$A$3:$E$32,5,0),1)</f>
        <v>1</v>
      </c>
      <c r="O97" s="63" t="str">
        <f xml:space="preserve">
IF(OR('Dados da OS'!$D$8="Selecione o tipo da contagem",ISBLANK('Dados da OS'!$D$8),B97="INM",B97="N/A",ISBLANK(B97),ISBLANK(C97),N97="VF"),"-",
   IF('Dados da OS'!$D$8=Parâmetros!$B$3,
      IF(OR(ISBLANK(D97),ISBLANK(F97)),"-",
         IF(L97="L","Baixa",IF(L97="A","Média",IF(L97="H","Alta","-")))),
      IF('Dados da OS'!$D$8=Parâmetros!$B$4,
         IF(OR(B97="ALI",B97="AIE"),"Baixa",IF(OR(B97="EE",B97="SE",B97="CE"),"Média","-")),
         IF(OR('Dados da OS'!$D$8=Parâmetros!$B$5,'Dados da OS'!$D$8=Parâmetros!$B$6),"-"))))</f>
        <v>-</v>
      </c>
      <c r="P97" s="59" t="str">
        <f xml:space="preserve">
IF(OR(ISBLANK(B97),ISBLANK(C97),B97="N/A",ISBLANK('Dados da OS'!$D$8)),"",
   IF(OR('Dados da OS'!$D$8=Parâmetros!$B$3,'Dados da OS'!$D$8=Parâmetros!$B$4),
      IF(OR(AND(B97="INM",N97&lt;&gt;"VF"),AND(N97="VF",B97&lt;&gt;"INM")),"",
        IF(AND(B97="INM",N97="VF"),IF(ISBLANK(H97),"",M97*H97),
        IF('Dados da OS'!$D$8=Parâmetros!$B$4,
           IF(OR(B97="CE",B97="EE"),4,IF(B97="SE",5,IF(B97="ALI",7,IF(B97="AIE",5,"")))),
        IF('Dados da OS'!$D$8=Parâmetros!$B$3,
           IF(OR(ISBLANK(D97),ISBLANK(F97)),"",
              IF(B97="ALI",IF(L97="L",7,IF(L97="A",10,15)),
                 IF(B97="AIE",IF(L97="L",5,IF(L97="A",7,10)),
                    IF(B97="SE",IF(L97="L",4,IF(L97="A",5,7)),
                       IF(OR(B97="EE",B97="CE"),IF(L97="L",3,IF(L97="A",4,6)),""))))))))),
   IF('Dados da OS'!$D$8=Parâmetros!$B$5,
      IF(OR(AND(B97="INM",N97&lt;&gt;"VF"),AND(N97="VF",B97&lt;&gt;"INM")),"",
         IF(B97="INM",IF(N97="VF",M97*H97,""),
            IF(B97="PE",4.6,
            IF(B97="AL",7,"")))),
   IF('Dados da OS'!$D$8=Parâmetros!$B$6,
      IF(B97="ALI",35,IF(B97="AIE",15,"")),""))
    )
)</f>
        <v/>
      </c>
      <c r="Q97" s="60" t="str">
        <f t="shared" si="13"/>
        <v/>
      </c>
      <c r="R97" s="61"/>
      <c r="S97" s="62"/>
      <c r="T97" s="80" t="s">
        <v>21</v>
      </c>
      <c r="U97" s="81"/>
      <c r="V97" s="99"/>
      <c r="W97" s="55"/>
      <c r="X97" s="55"/>
      <c r="Y97" s="56"/>
      <c r="Z97" s="55"/>
      <c r="AA97" s="56"/>
      <c r="AB97" s="55"/>
      <c r="AC97" s="57" t="str">
        <f t="shared" si="14"/>
        <v/>
      </c>
      <c r="AD97" s="57" t="str">
        <f t="shared" si="15"/>
        <v/>
      </c>
      <c r="AE97" s="57" t="str">
        <f xml:space="preserve">
IF(OR('Dados da OS'!$D$8=Parâmetros!$B$3,'Dados da OS'!$D$8=Parâmetros!$B$4),
  IF(OR(ISBLANK(X97),ISBLANK(Z97)),
     IF(OR(V97="ALI",V97="AIE"),"L",IF(ISBLANK(V97),"","A")),
     IF(V97="EE",IF(Z97&gt;=3,IF(X97&gt;=5,"H","A"),
     IF(Z97&gt;=2,IF(X97&gt;=16,"H",IF(X97&lt;=4,"L","A")),IF(X97&lt;=15,"L","A"))),
     IF(OR(V97="SE",V97="CE"),IF(Z97&gt;=4,IF(X97&gt;=6,"H","A"),IF(Z97&gt;=2,IF(X97&gt;=20,"H",IF(X97&lt;=5,"L","A")),IF(X97&lt;=19,"L","A"))),
     IF(OR(V97="ALI",V97="AIE"),IF(Z97&gt;=6,IF(X97&gt;=20,"H","A"),IF(Z97&gt;=2,IF(X97&gt;=51,"H",IF(X97&lt;=19,"L","A")),IF(X97&lt;=50,"L","A"))))))),
IF('Dados da OS'!$D$8=Parâmetros!$B$6,"Indicativa",
IF('Dados da OS'!$D$8=Parâmetros!$B$5,"PFS","")))</f>
        <v/>
      </c>
      <c r="AF97" s="57">
        <f>IFERROR(VLOOKUP(W97,'Fatores de Impacto e INMs'!$A$3:$D$32,3,0),1)</f>
        <v>1</v>
      </c>
      <c r="AG97" s="57">
        <f>IFERROR(VLOOKUP(W97,'Fatores de Impacto e INMs'!$A$3:$E$32,5,0),1)</f>
        <v>1</v>
      </c>
      <c r="AH97" s="82" t="str">
        <f xml:space="preserve">
IF(OR('Dados da OS'!$D$8="Selecione o tipo da contagem",ISBLANK('Dados da OS'!$D$8),V97="INM",V97="N/A",ISBLANK(V97),ISBLANK(W97),AG97="VF"),"-",
   IF('Dados da OS'!$D$8=Parâmetros!$B$3,
      IF(OR(ISBLANK(X97),ISBLANK(Z97)),"-",
         IF(AE97="L","Baixa",IF(AE97="A","Média",IF(AE97="H","Alta","-")))),
      IF('Dados da OS'!$D$8=Parâmetros!$B$4,
         IF(OR(V97="ALI",V97="AIE"),"Baixa",IF(OR(V97="EE",V97="SE",V97="CE"),"Média","-")),
         IF(OR('Dados da OS'!$D$8=Parâmetros!$B$5,'Dados da OS'!$D$8=Parâmetros!$B$6),"-"))))</f>
        <v>-</v>
      </c>
      <c r="AI97" s="83" t="str">
        <f xml:space="preserve">
IF(OR(ISBLANK(V97),ISBLANK(U97),ISBLANK(W97),V97="N/A",ISBLANK('Dados da OS'!$D$8)),"",
   IF(OR('Dados da OS'!$D$8=Parâmetros!$B$3,'Dados da OS'!$D$8=Parâmetros!$B$4),
      IF(OR(AND(V97="INM",AG97&lt;&gt;"VF"),AND(AG97="VF",V97&lt;&gt;"INM")),"",
        IF(AND(V97="INM",AG97="VF"),IF(ISBLANK(AB97),"",AF97*AB97),
        IF('Dados da OS'!$D$8=Parâmetros!$B$4,
           IF(OR(V97="CE",V97="EE"),4,IF(V97="SE",5,IF(V97="ALI",7,IF(V97="AIE",5,"")))),
        IF('Dados da OS'!$D$8=Parâmetros!$B$3,
           IF(OR(ISBLANK(X97),ISBLANK(Z97)),"",
              IF(V97="ALI",IF(AE97="L",7,IF(AE97="A",10,15)),
                 IF(V97="AIE",IF(AE97="L",5,IF(AE97="A",7,10)),
                    IF(V97="SE",IF(AE97="L",4,IF(AE97="A",5,7)),
                       IF(OR(V97="EE",V97="CE"),IF(AE97="L",3,IF(AE97="A",4,6)),""))))))))),
   IF('Dados da OS'!$D$8=Parâmetros!$B$5,
      IF(OR(AND(V97="INM",AG97&lt;&gt;"VF"),AND(AG97="VF",V97&lt;&gt;"INM")),"",
         IF(V97="INM",IF(AG97="VF",AF97*AB97,""),
            IF(V97="PE",4.6,
            IF(V97="AL",7,"")))),
   IF('Dados da OS'!$D$8=Parâmetros!$B$6,
      IF(V97="ALI",35,IF(V97="AIE",15,"")),""))
    )
)</f>
        <v/>
      </c>
      <c r="AJ97" s="82" t="str">
        <f t="shared" si="16"/>
        <v/>
      </c>
      <c r="AK97" s="84"/>
      <c r="AL97" s="85" t="s">
        <v>21</v>
      </c>
      <c r="AM97" s="86"/>
      <c r="AN97" s="85"/>
      <c r="AO97" s="87"/>
      <c r="AP97" s="85"/>
      <c r="AQ97" s="86"/>
      <c r="AR97" s="85"/>
    </row>
    <row r="98" spans="1:44" ht="15.75" customHeight="1">
      <c r="A98" s="54"/>
      <c r="B98" s="100"/>
      <c r="C98" s="55"/>
      <c r="D98" s="55"/>
      <c r="E98" s="56"/>
      <c r="F98" s="55"/>
      <c r="G98" s="56"/>
      <c r="H98" s="55"/>
      <c r="I98" s="64"/>
      <c r="J98" s="57" t="str">
        <f t="shared" si="11"/>
        <v/>
      </c>
      <c r="K98" s="57" t="str">
        <f t="shared" si="12"/>
        <v/>
      </c>
      <c r="L98" s="57" t="str">
        <f xml:space="preserve">
IF(OR('Dados da OS'!$D$8=Parâmetros!$B$3,'Dados da OS'!$D$8=Parâmetros!$B$4),
  IF(OR(ISBLANK(D98),ISBLANK(F98)),
     IF(OR(B98="ALI",B98="AIE"),"L",IF(ISBLANK(B98),"","A")),
     IF(B98="EE",IF(F98&gt;=3,IF(D98&gt;=5,"H","A"),
     IF(F98&gt;=2,IF(D98&gt;=16,"H",IF(D98&lt;=4,"L","A")),IF(D98&lt;=15,"L","A"))),
     IF(OR(B98="SE",B98="CE"),IF(F98&gt;=4,IF(D98&gt;=6,"H","A"),IF(F98&gt;=2,IF(D98&gt;=20,"H",IF(D98&lt;=5,"L","A")),IF(D98&lt;=19,"L","A"))),
     IF(OR(B98="ALI",B98="AIE"),IF(F98&gt;=6,IF(D98&gt;=20,"H","A"),IF(F98&gt;=2,IF(D98&gt;=51,"H",IF(D98&lt;=19,"L","A")),IF(D98&lt;=50,"L","A"))))))),
IF('Dados da OS'!$D$8=Parâmetros!$B$6,"Indicativa",
IF('Dados da OS'!$D$8=Parâmetros!$B$5,"PFS","")))</f>
        <v/>
      </c>
      <c r="M98" s="57">
        <f>IFERROR(VLOOKUP(C98,'Fatores de Impacto e INMs'!$A$3:$D$32,3,0),1)</f>
        <v>1</v>
      </c>
      <c r="N98" s="57">
        <f>IFERROR(VLOOKUP(C98,'Fatores de Impacto e INMs'!$A$3:$E$32,5,0),1)</f>
        <v>1</v>
      </c>
      <c r="O98" s="63" t="str">
        <f xml:space="preserve">
IF(OR('Dados da OS'!$D$8="Selecione o tipo da contagem",ISBLANK('Dados da OS'!$D$8),B98="INM",B98="N/A",ISBLANK(B98),ISBLANK(C98),N98="VF"),"-",
   IF('Dados da OS'!$D$8=Parâmetros!$B$3,
      IF(OR(ISBLANK(D98),ISBLANK(F98)),"-",
         IF(L98="L","Baixa",IF(L98="A","Média",IF(L98="H","Alta","-")))),
      IF('Dados da OS'!$D$8=Parâmetros!$B$4,
         IF(OR(B98="ALI",B98="AIE"),"Baixa",IF(OR(B98="EE",B98="SE",B98="CE"),"Média","-")),
         IF(OR('Dados da OS'!$D$8=Parâmetros!$B$5,'Dados da OS'!$D$8=Parâmetros!$B$6),"-"))))</f>
        <v>-</v>
      </c>
      <c r="P98" s="59" t="str">
        <f xml:space="preserve">
IF(OR(ISBLANK(B98),ISBLANK(C98),B98="N/A",ISBLANK('Dados da OS'!$D$8)),"",
   IF(OR('Dados da OS'!$D$8=Parâmetros!$B$3,'Dados da OS'!$D$8=Parâmetros!$B$4),
      IF(OR(AND(B98="INM",N98&lt;&gt;"VF"),AND(N98="VF",B98&lt;&gt;"INM")),"",
        IF(AND(B98="INM",N98="VF"),IF(ISBLANK(H98),"",M98*H98),
        IF('Dados da OS'!$D$8=Parâmetros!$B$4,
           IF(OR(B98="CE",B98="EE"),4,IF(B98="SE",5,IF(B98="ALI",7,IF(B98="AIE",5,"")))),
        IF('Dados da OS'!$D$8=Parâmetros!$B$3,
           IF(OR(ISBLANK(D98),ISBLANK(F98)),"",
              IF(B98="ALI",IF(L98="L",7,IF(L98="A",10,15)),
                 IF(B98="AIE",IF(L98="L",5,IF(L98="A",7,10)),
                    IF(B98="SE",IF(L98="L",4,IF(L98="A",5,7)),
                       IF(OR(B98="EE",B98="CE"),IF(L98="L",3,IF(L98="A",4,6)),""))))))))),
   IF('Dados da OS'!$D$8=Parâmetros!$B$5,
      IF(OR(AND(B98="INM",N98&lt;&gt;"VF"),AND(N98="VF",B98&lt;&gt;"INM")),"",
         IF(B98="INM",IF(N98="VF",M98*H98,""),
            IF(B98="PE",4.6,
            IF(B98="AL",7,"")))),
   IF('Dados da OS'!$D$8=Parâmetros!$B$6,
      IF(B98="ALI",35,IF(B98="AIE",15,"")),""))
    )
)</f>
        <v/>
      </c>
      <c r="Q98" s="60" t="str">
        <f t="shared" si="13"/>
        <v/>
      </c>
      <c r="R98" s="61"/>
      <c r="S98" s="62"/>
      <c r="T98" s="80" t="s">
        <v>21</v>
      </c>
      <c r="U98" s="81"/>
      <c r="V98" s="99"/>
      <c r="W98" s="55"/>
      <c r="X98" s="55"/>
      <c r="Y98" s="56"/>
      <c r="Z98" s="55"/>
      <c r="AA98" s="56"/>
      <c r="AB98" s="55"/>
      <c r="AC98" s="57" t="str">
        <f t="shared" si="14"/>
        <v/>
      </c>
      <c r="AD98" s="57" t="str">
        <f t="shared" si="15"/>
        <v/>
      </c>
      <c r="AE98" s="57" t="str">
        <f xml:space="preserve">
IF(OR('Dados da OS'!$D$8=Parâmetros!$B$3,'Dados da OS'!$D$8=Parâmetros!$B$4),
  IF(OR(ISBLANK(X98),ISBLANK(Z98)),
     IF(OR(V98="ALI",V98="AIE"),"L",IF(ISBLANK(V98),"","A")),
     IF(V98="EE",IF(Z98&gt;=3,IF(X98&gt;=5,"H","A"),
     IF(Z98&gt;=2,IF(X98&gt;=16,"H",IF(X98&lt;=4,"L","A")),IF(X98&lt;=15,"L","A"))),
     IF(OR(V98="SE",V98="CE"),IF(Z98&gt;=4,IF(X98&gt;=6,"H","A"),IF(Z98&gt;=2,IF(X98&gt;=20,"H",IF(X98&lt;=5,"L","A")),IF(X98&lt;=19,"L","A"))),
     IF(OR(V98="ALI",V98="AIE"),IF(Z98&gt;=6,IF(X98&gt;=20,"H","A"),IF(Z98&gt;=2,IF(X98&gt;=51,"H",IF(X98&lt;=19,"L","A")),IF(X98&lt;=50,"L","A"))))))),
IF('Dados da OS'!$D$8=Parâmetros!$B$6,"Indicativa",
IF('Dados da OS'!$D$8=Parâmetros!$B$5,"PFS","")))</f>
        <v/>
      </c>
      <c r="AF98" s="57">
        <f>IFERROR(VLOOKUP(W98,'Fatores de Impacto e INMs'!$A$3:$D$32,3,0),1)</f>
        <v>1</v>
      </c>
      <c r="AG98" s="57">
        <f>IFERROR(VLOOKUP(W98,'Fatores de Impacto e INMs'!$A$3:$E$32,5,0),1)</f>
        <v>1</v>
      </c>
      <c r="AH98" s="82" t="str">
        <f xml:space="preserve">
IF(OR('Dados da OS'!$D$8="Selecione o tipo da contagem",ISBLANK('Dados da OS'!$D$8),V98="INM",V98="N/A",ISBLANK(V98),ISBLANK(W98),AG98="VF"),"-",
   IF('Dados da OS'!$D$8=Parâmetros!$B$3,
      IF(OR(ISBLANK(X98),ISBLANK(Z98)),"-",
         IF(AE98="L","Baixa",IF(AE98="A","Média",IF(AE98="H","Alta","-")))),
      IF('Dados da OS'!$D$8=Parâmetros!$B$4,
         IF(OR(V98="ALI",V98="AIE"),"Baixa",IF(OR(V98="EE",V98="SE",V98="CE"),"Média","-")),
         IF(OR('Dados da OS'!$D$8=Parâmetros!$B$5,'Dados da OS'!$D$8=Parâmetros!$B$6),"-"))))</f>
        <v>-</v>
      </c>
      <c r="AI98" s="83" t="str">
        <f xml:space="preserve">
IF(OR(ISBLANK(V98),ISBLANK(U98),ISBLANK(W98),V98="N/A",ISBLANK('Dados da OS'!$D$8)),"",
   IF(OR('Dados da OS'!$D$8=Parâmetros!$B$3,'Dados da OS'!$D$8=Parâmetros!$B$4),
      IF(OR(AND(V98="INM",AG98&lt;&gt;"VF"),AND(AG98="VF",V98&lt;&gt;"INM")),"",
        IF(AND(V98="INM",AG98="VF"),IF(ISBLANK(AB98),"",AF98*AB98),
        IF('Dados da OS'!$D$8=Parâmetros!$B$4,
           IF(OR(V98="CE",V98="EE"),4,IF(V98="SE",5,IF(V98="ALI",7,IF(V98="AIE",5,"")))),
        IF('Dados da OS'!$D$8=Parâmetros!$B$3,
           IF(OR(ISBLANK(X98),ISBLANK(Z98)),"",
              IF(V98="ALI",IF(AE98="L",7,IF(AE98="A",10,15)),
                 IF(V98="AIE",IF(AE98="L",5,IF(AE98="A",7,10)),
                    IF(V98="SE",IF(AE98="L",4,IF(AE98="A",5,7)),
                       IF(OR(V98="EE",V98="CE"),IF(AE98="L",3,IF(AE98="A",4,6)),""))))))))),
   IF('Dados da OS'!$D$8=Parâmetros!$B$5,
      IF(OR(AND(V98="INM",AG98&lt;&gt;"VF"),AND(AG98="VF",V98&lt;&gt;"INM")),"",
         IF(V98="INM",IF(AG98="VF",AF98*AB98,""),
            IF(V98="PE",4.6,
            IF(V98="AL",7,"")))),
   IF('Dados da OS'!$D$8=Parâmetros!$B$6,
      IF(V98="ALI",35,IF(V98="AIE",15,"")),""))
    )
)</f>
        <v/>
      </c>
      <c r="AJ98" s="82" t="str">
        <f t="shared" si="16"/>
        <v/>
      </c>
      <c r="AK98" s="84"/>
      <c r="AL98" s="85" t="s">
        <v>21</v>
      </c>
      <c r="AM98" s="86"/>
      <c r="AN98" s="85"/>
      <c r="AO98" s="87"/>
      <c r="AP98" s="85"/>
      <c r="AQ98" s="86"/>
      <c r="AR98" s="85"/>
    </row>
    <row r="99" spans="1:44" ht="15.75" customHeight="1">
      <c r="A99" s="54"/>
      <c r="B99" s="100"/>
      <c r="C99" s="55"/>
      <c r="D99" s="55"/>
      <c r="E99" s="56"/>
      <c r="F99" s="55"/>
      <c r="G99" s="56"/>
      <c r="H99" s="55"/>
      <c r="I99" s="64"/>
      <c r="J99" s="57" t="str">
        <f t="shared" si="11"/>
        <v/>
      </c>
      <c r="K99" s="57" t="str">
        <f t="shared" si="12"/>
        <v/>
      </c>
      <c r="L99" s="57" t="str">
        <f xml:space="preserve">
IF(OR('Dados da OS'!$D$8=Parâmetros!$B$3,'Dados da OS'!$D$8=Parâmetros!$B$4),
  IF(OR(ISBLANK(D99),ISBLANK(F99)),
     IF(OR(B99="ALI",B99="AIE"),"L",IF(ISBLANK(B99),"","A")),
     IF(B99="EE",IF(F99&gt;=3,IF(D99&gt;=5,"H","A"),
     IF(F99&gt;=2,IF(D99&gt;=16,"H",IF(D99&lt;=4,"L","A")),IF(D99&lt;=15,"L","A"))),
     IF(OR(B99="SE",B99="CE"),IF(F99&gt;=4,IF(D99&gt;=6,"H","A"),IF(F99&gt;=2,IF(D99&gt;=20,"H",IF(D99&lt;=5,"L","A")),IF(D99&lt;=19,"L","A"))),
     IF(OR(B99="ALI",B99="AIE"),IF(F99&gt;=6,IF(D99&gt;=20,"H","A"),IF(F99&gt;=2,IF(D99&gt;=51,"H",IF(D99&lt;=19,"L","A")),IF(D99&lt;=50,"L","A"))))))),
IF('Dados da OS'!$D$8=Parâmetros!$B$6,"Indicativa",
IF('Dados da OS'!$D$8=Parâmetros!$B$5,"PFS","")))</f>
        <v/>
      </c>
      <c r="M99" s="57">
        <f>IFERROR(VLOOKUP(C99,'Fatores de Impacto e INMs'!$A$3:$D$32,3,0),1)</f>
        <v>1</v>
      </c>
      <c r="N99" s="57">
        <f>IFERROR(VLOOKUP(C99,'Fatores de Impacto e INMs'!$A$3:$E$32,5,0),1)</f>
        <v>1</v>
      </c>
      <c r="O99" s="63" t="str">
        <f xml:space="preserve">
IF(OR('Dados da OS'!$D$8="Selecione o tipo da contagem",ISBLANK('Dados da OS'!$D$8),B99="INM",B99="N/A",ISBLANK(B99),ISBLANK(C99),N99="VF"),"-",
   IF('Dados da OS'!$D$8=Parâmetros!$B$3,
      IF(OR(ISBLANK(D99),ISBLANK(F99)),"-",
         IF(L99="L","Baixa",IF(L99="A","Média",IF(L99="H","Alta","-")))),
      IF('Dados da OS'!$D$8=Parâmetros!$B$4,
         IF(OR(B99="ALI",B99="AIE"),"Baixa",IF(OR(B99="EE",B99="SE",B99="CE"),"Média","-")),
         IF(OR('Dados da OS'!$D$8=Parâmetros!$B$5,'Dados da OS'!$D$8=Parâmetros!$B$6),"-"))))</f>
        <v>-</v>
      </c>
      <c r="P99" s="59" t="str">
        <f xml:space="preserve">
IF(OR(ISBLANK(B99),ISBLANK(C99),B99="N/A",ISBLANK('Dados da OS'!$D$8)),"",
   IF(OR('Dados da OS'!$D$8=Parâmetros!$B$3,'Dados da OS'!$D$8=Parâmetros!$B$4),
      IF(OR(AND(B99="INM",N99&lt;&gt;"VF"),AND(N99="VF",B99&lt;&gt;"INM")),"",
        IF(AND(B99="INM",N99="VF"),IF(ISBLANK(H99),"",M99*H99),
        IF('Dados da OS'!$D$8=Parâmetros!$B$4,
           IF(OR(B99="CE",B99="EE"),4,IF(B99="SE",5,IF(B99="ALI",7,IF(B99="AIE",5,"")))),
        IF('Dados da OS'!$D$8=Parâmetros!$B$3,
           IF(OR(ISBLANK(D99),ISBLANK(F99)),"",
              IF(B99="ALI",IF(L99="L",7,IF(L99="A",10,15)),
                 IF(B99="AIE",IF(L99="L",5,IF(L99="A",7,10)),
                    IF(B99="SE",IF(L99="L",4,IF(L99="A",5,7)),
                       IF(OR(B99="EE",B99="CE"),IF(L99="L",3,IF(L99="A",4,6)),""))))))))),
   IF('Dados da OS'!$D$8=Parâmetros!$B$5,
      IF(OR(AND(B99="INM",N99&lt;&gt;"VF"),AND(N99="VF",B99&lt;&gt;"INM")),"",
         IF(B99="INM",IF(N99="VF",M99*H99,""),
            IF(B99="PE",4.6,
            IF(B99="AL",7,"")))),
   IF('Dados da OS'!$D$8=Parâmetros!$B$6,
      IF(B99="ALI",35,IF(B99="AIE",15,"")),""))
    )
)</f>
        <v/>
      </c>
      <c r="Q99" s="60" t="str">
        <f t="shared" si="13"/>
        <v/>
      </c>
      <c r="R99" s="61"/>
      <c r="S99" s="62"/>
      <c r="T99" s="80" t="s">
        <v>21</v>
      </c>
      <c r="U99" s="81"/>
      <c r="V99" s="99"/>
      <c r="W99" s="55"/>
      <c r="X99" s="55"/>
      <c r="Y99" s="56"/>
      <c r="Z99" s="55"/>
      <c r="AA99" s="56"/>
      <c r="AB99" s="55"/>
      <c r="AC99" s="57" t="str">
        <f t="shared" si="14"/>
        <v/>
      </c>
      <c r="AD99" s="57" t="str">
        <f t="shared" si="15"/>
        <v/>
      </c>
      <c r="AE99" s="57" t="str">
        <f xml:space="preserve">
IF(OR('Dados da OS'!$D$8=Parâmetros!$B$3,'Dados da OS'!$D$8=Parâmetros!$B$4),
  IF(OR(ISBLANK(X99),ISBLANK(Z99)),
     IF(OR(V99="ALI",V99="AIE"),"L",IF(ISBLANK(V99),"","A")),
     IF(V99="EE",IF(Z99&gt;=3,IF(X99&gt;=5,"H","A"),
     IF(Z99&gt;=2,IF(X99&gt;=16,"H",IF(X99&lt;=4,"L","A")),IF(X99&lt;=15,"L","A"))),
     IF(OR(V99="SE",V99="CE"),IF(Z99&gt;=4,IF(X99&gt;=6,"H","A"),IF(Z99&gt;=2,IF(X99&gt;=20,"H",IF(X99&lt;=5,"L","A")),IF(X99&lt;=19,"L","A"))),
     IF(OR(V99="ALI",V99="AIE"),IF(Z99&gt;=6,IF(X99&gt;=20,"H","A"),IF(Z99&gt;=2,IF(X99&gt;=51,"H",IF(X99&lt;=19,"L","A")),IF(X99&lt;=50,"L","A"))))))),
IF('Dados da OS'!$D$8=Parâmetros!$B$6,"Indicativa",
IF('Dados da OS'!$D$8=Parâmetros!$B$5,"PFS","")))</f>
        <v/>
      </c>
      <c r="AF99" s="57">
        <f>IFERROR(VLOOKUP(W99,'Fatores de Impacto e INMs'!$A$3:$D$32,3,0),1)</f>
        <v>1</v>
      </c>
      <c r="AG99" s="57">
        <f>IFERROR(VLOOKUP(W99,'Fatores de Impacto e INMs'!$A$3:$E$32,5,0),1)</f>
        <v>1</v>
      </c>
      <c r="AH99" s="82" t="str">
        <f xml:space="preserve">
IF(OR('Dados da OS'!$D$8="Selecione o tipo da contagem",ISBLANK('Dados da OS'!$D$8),V99="INM",V99="N/A",ISBLANK(V99),ISBLANK(W99),AG99="VF"),"-",
   IF('Dados da OS'!$D$8=Parâmetros!$B$3,
      IF(OR(ISBLANK(X99),ISBLANK(Z99)),"-",
         IF(AE99="L","Baixa",IF(AE99="A","Média",IF(AE99="H","Alta","-")))),
      IF('Dados da OS'!$D$8=Parâmetros!$B$4,
         IF(OR(V99="ALI",V99="AIE"),"Baixa",IF(OR(V99="EE",V99="SE",V99="CE"),"Média","-")),
         IF(OR('Dados da OS'!$D$8=Parâmetros!$B$5,'Dados da OS'!$D$8=Parâmetros!$B$6),"-"))))</f>
        <v>-</v>
      </c>
      <c r="AI99" s="83" t="str">
        <f xml:space="preserve">
IF(OR(ISBLANK(V99),ISBLANK(U99),ISBLANK(W99),V99="N/A",ISBLANK('Dados da OS'!$D$8)),"",
   IF(OR('Dados da OS'!$D$8=Parâmetros!$B$3,'Dados da OS'!$D$8=Parâmetros!$B$4),
      IF(OR(AND(V99="INM",AG99&lt;&gt;"VF"),AND(AG99="VF",V99&lt;&gt;"INM")),"",
        IF(AND(V99="INM",AG99="VF"),IF(ISBLANK(AB99),"",AF99*AB99),
        IF('Dados da OS'!$D$8=Parâmetros!$B$4,
           IF(OR(V99="CE",V99="EE"),4,IF(V99="SE",5,IF(V99="ALI",7,IF(V99="AIE",5,"")))),
        IF('Dados da OS'!$D$8=Parâmetros!$B$3,
           IF(OR(ISBLANK(X99),ISBLANK(Z99)),"",
              IF(V99="ALI",IF(AE99="L",7,IF(AE99="A",10,15)),
                 IF(V99="AIE",IF(AE99="L",5,IF(AE99="A",7,10)),
                    IF(V99="SE",IF(AE99="L",4,IF(AE99="A",5,7)),
                       IF(OR(V99="EE",V99="CE"),IF(AE99="L",3,IF(AE99="A",4,6)),""))))))))),
   IF('Dados da OS'!$D$8=Parâmetros!$B$5,
      IF(OR(AND(V99="INM",AG99&lt;&gt;"VF"),AND(AG99="VF",V99&lt;&gt;"INM")),"",
         IF(V99="INM",IF(AG99="VF",AF99*AB99,""),
            IF(V99="PE",4.6,
            IF(V99="AL",7,"")))),
   IF('Dados da OS'!$D$8=Parâmetros!$B$6,
      IF(V99="ALI",35,IF(V99="AIE",15,"")),""))
    )
)</f>
        <v/>
      </c>
      <c r="AJ99" s="82" t="str">
        <f t="shared" si="16"/>
        <v/>
      </c>
      <c r="AK99" s="84"/>
      <c r="AL99" s="85" t="s">
        <v>21</v>
      </c>
      <c r="AM99" s="86"/>
      <c r="AN99" s="85"/>
      <c r="AO99" s="87"/>
      <c r="AP99" s="85"/>
      <c r="AQ99" s="86"/>
      <c r="AR99" s="85"/>
    </row>
    <row r="100" spans="1:44" ht="15.75" customHeight="1">
      <c r="A100" s="54"/>
      <c r="B100" s="100"/>
      <c r="C100" s="55"/>
      <c r="D100" s="55"/>
      <c r="E100" s="56"/>
      <c r="F100" s="55"/>
      <c r="G100" s="56"/>
      <c r="H100" s="55"/>
      <c r="I100" s="64"/>
      <c r="J100" s="57" t="str">
        <f t="shared" si="11"/>
        <v/>
      </c>
      <c r="K100" s="57" t="str">
        <f t="shared" si="12"/>
        <v/>
      </c>
      <c r="L100" s="57" t="str">
        <f xml:space="preserve">
IF(OR('Dados da OS'!$D$8=Parâmetros!$B$3,'Dados da OS'!$D$8=Parâmetros!$B$4),
  IF(OR(ISBLANK(D100),ISBLANK(F100)),
     IF(OR(B100="ALI",B100="AIE"),"L",IF(ISBLANK(B100),"","A")),
     IF(B100="EE",IF(F100&gt;=3,IF(D100&gt;=5,"H","A"),
     IF(F100&gt;=2,IF(D100&gt;=16,"H",IF(D100&lt;=4,"L","A")),IF(D100&lt;=15,"L","A"))),
     IF(OR(B100="SE",B100="CE"),IF(F100&gt;=4,IF(D100&gt;=6,"H","A"),IF(F100&gt;=2,IF(D100&gt;=20,"H",IF(D100&lt;=5,"L","A")),IF(D100&lt;=19,"L","A"))),
     IF(OR(B100="ALI",B100="AIE"),IF(F100&gt;=6,IF(D100&gt;=20,"H","A"),IF(F100&gt;=2,IF(D100&gt;=51,"H",IF(D100&lt;=19,"L","A")),IF(D100&lt;=50,"L","A"))))))),
IF('Dados da OS'!$D$8=Parâmetros!$B$6,"Indicativa",
IF('Dados da OS'!$D$8=Parâmetros!$B$5,"PFS","")))</f>
        <v/>
      </c>
      <c r="M100" s="57">
        <f>IFERROR(VLOOKUP(C100,'Fatores de Impacto e INMs'!$A$3:$D$32,3,0),1)</f>
        <v>1</v>
      </c>
      <c r="N100" s="57">
        <f>IFERROR(VLOOKUP(C100,'Fatores de Impacto e INMs'!$A$3:$E$32,5,0),1)</f>
        <v>1</v>
      </c>
      <c r="O100" s="63" t="str">
        <f xml:space="preserve">
IF(OR('Dados da OS'!$D$8="Selecione o tipo da contagem",ISBLANK('Dados da OS'!$D$8),B100="INM",B100="N/A",ISBLANK(B100),ISBLANK(C100),N100="VF"),"-",
   IF('Dados da OS'!$D$8=Parâmetros!$B$3,
      IF(OR(ISBLANK(D100),ISBLANK(F100)),"-",
         IF(L100="L","Baixa",IF(L100="A","Média",IF(L100="H","Alta","-")))),
      IF('Dados da OS'!$D$8=Parâmetros!$B$4,
         IF(OR(B100="ALI",B100="AIE"),"Baixa",IF(OR(B100="EE",B100="SE",B100="CE"),"Média","-")),
         IF(OR('Dados da OS'!$D$8=Parâmetros!$B$5,'Dados da OS'!$D$8=Parâmetros!$B$6),"-"))))</f>
        <v>-</v>
      </c>
      <c r="P100" s="59" t="str">
        <f xml:space="preserve">
IF(OR(ISBLANK(B100),ISBLANK(C100),B100="N/A",ISBLANK('Dados da OS'!$D$8)),"",
   IF(OR('Dados da OS'!$D$8=Parâmetros!$B$3,'Dados da OS'!$D$8=Parâmetros!$B$4),
      IF(OR(AND(B100="INM",N100&lt;&gt;"VF"),AND(N100="VF",B100&lt;&gt;"INM")),"",
        IF(AND(B100="INM",N100="VF"),IF(ISBLANK(H100),"",M100*H100),
        IF('Dados da OS'!$D$8=Parâmetros!$B$4,
           IF(OR(B100="CE",B100="EE"),4,IF(B100="SE",5,IF(B100="ALI",7,IF(B100="AIE",5,"")))),
        IF('Dados da OS'!$D$8=Parâmetros!$B$3,
           IF(OR(ISBLANK(D100),ISBLANK(F100)),"",
              IF(B100="ALI",IF(L100="L",7,IF(L100="A",10,15)),
                 IF(B100="AIE",IF(L100="L",5,IF(L100="A",7,10)),
                    IF(B100="SE",IF(L100="L",4,IF(L100="A",5,7)),
                       IF(OR(B100="EE",B100="CE"),IF(L100="L",3,IF(L100="A",4,6)),""))))))))),
   IF('Dados da OS'!$D$8=Parâmetros!$B$5,
      IF(OR(AND(B100="INM",N100&lt;&gt;"VF"),AND(N100="VF",B100&lt;&gt;"INM")),"",
         IF(B100="INM",IF(N100="VF",M100*H100,""),
            IF(B100="PE",4.6,
            IF(B100="AL",7,"")))),
   IF('Dados da OS'!$D$8=Parâmetros!$B$6,
      IF(B100="ALI",35,IF(B100="AIE",15,"")),""))
    )
)</f>
        <v/>
      </c>
      <c r="Q100" s="60" t="str">
        <f t="shared" si="13"/>
        <v/>
      </c>
      <c r="R100" s="61"/>
      <c r="S100" s="62"/>
      <c r="T100" s="80" t="s">
        <v>21</v>
      </c>
      <c r="U100" s="81"/>
      <c r="V100" s="99"/>
      <c r="W100" s="55"/>
      <c r="X100" s="55"/>
      <c r="Y100" s="56"/>
      <c r="Z100" s="55"/>
      <c r="AA100" s="56"/>
      <c r="AB100" s="55"/>
      <c r="AC100" s="57" t="str">
        <f t="shared" si="14"/>
        <v/>
      </c>
      <c r="AD100" s="57" t="str">
        <f t="shared" si="15"/>
        <v/>
      </c>
      <c r="AE100" s="57" t="str">
        <f xml:space="preserve">
IF(OR('Dados da OS'!$D$8=Parâmetros!$B$3,'Dados da OS'!$D$8=Parâmetros!$B$4),
  IF(OR(ISBLANK(X100),ISBLANK(Z100)),
     IF(OR(V100="ALI",V100="AIE"),"L",IF(ISBLANK(V100),"","A")),
     IF(V100="EE",IF(Z100&gt;=3,IF(X100&gt;=5,"H","A"),
     IF(Z100&gt;=2,IF(X100&gt;=16,"H",IF(X100&lt;=4,"L","A")),IF(X100&lt;=15,"L","A"))),
     IF(OR(V100="SE",V100="CE"),IF(Z100&gt;=4,IF(X100&gt;=6,"H","A"),IF(Z100&gt;=2,IF(X100&gt;=20,"H",IF(X100&lt;=5,"L","A")),IF(X100&lt;=19,"L","A"))),
     IF(OR(V100="ALI",V100="AIE"),IF(Z100&gt;=6,IF(X100&gt;=20,"H","A"),IF(Z100&gt;=2,IF(X100&gt;=51,"H",IF(X100&lt;=19,"L","A")),IF(X100&lt;=50,"L","A"))))))),
IF('Dados da OS'!$D$8=Parâmetros!$B$6,"Indicativa",
IF('Dados da OS'!$D$8=Parâmetros!$B$5,"PFS","")))</f>
        <v/>
      </c>
      <c r="AF100" s="57">
        <f>IFERROR(VLOOKUP(W100,'Fatores de Impacto e INMs'!$A$3:$D$32,3,0),1)</f>
        <v>1</v>
      </c>
      <c r="AG100" s="57">
        <f>IFERROR(VLOOKUP(W100,'Fatores de Impacto e INMs'!$A$3:$E$32,5,0),1)</f>
        <v>1</v>
      </c>
      <c r="AH100" s="82" t="str">
        <f xml:space="preserve">
IF(OR('Dados da OS'!$D$8="Selecione o tipo da contagem",ISBLANK('Dados da OS'!$D$8),V100="INM",V100="N/A",ISBLANK(V100),ISBLANK(W100),AG100="VF"),"-",
   IF('Dados da OS'!$D$8=Parâmetros!$B$3,
      IF(OR(ISBLANK(X100),ISBLANK(Z100)),"-",
         IF(AE100="L","Baixa",IF(AE100="A","Média",IF(AE100="H","Alta","-")))),
      IF('Dados da OS'!$D$8=Parâmetros!$B$4,
         IF(OR(V100="ALI",V100="AIE"),"Baixa",IF(OR(V100="EE",V100="SE",V100="CE"),"Média","-")),
         IF(OR('Dados da OS'!$D$8=Parâmetros!$B$5,'Dados da OS'!$D$8=Parâmetros!$B$6),"-"))))</f>
        <v>-</v>
      </c>
      <c r="AI100" s="83" t="str">
        <f xml:space="preserve">
IF(OR(ISBLANK(V100),ISBLANK(U100),ISBLANK(W100),V100="N/A",ISBLANK('Dados da OS'!$D$8)),"",
   IF(OR('Dados da OS'!$D$8=Parâmetros!$B$3,'Dados da OS'!$D$8=Parâmetros!$B$4),
      IF(OR(AND(V100="INM",AG100&lt;&gt;"VF"),AND(AG100="VF",V100&lt;&gt;"INM")),"",
        IF(AND(V100="INM",AG100="VF"),IF(ISBLANK(AB100),"",AF100*AB100),
        IF('Dados da OS'!$D$8=Parâmetros!$B$4,
           IF(OR(V100="CE",V100="EE"),4,IF(V100="SE",5,IF(V100="ALI",7,IF(V100="AIE",5,"")))),
        IF('Dados da OS'!$D$8=Parâmetros!$B$3,
           IF(OR(ISBLANK(X100),ISBLANK(Z100)),"",
              IF(V100="ALI",IF(AE100="L",7,IF(AE100="A",10,15)),
                 IF(V100="AIE",IF(AE100="L",5,IF(AE100="A",7,10)),
                    IF(V100="SE",IF(AE100="L",4,IF(AE100="A",5,7)),
                       IF(OR(V100="EE",V100="CE"),IF(AE100="L",3,IF(AE100="A",4,6)),""))))))))),
   IF('Dados da OS'!$D$8=Parâmetros!$B$5,
      IF(OR(AND(V100="INM",AG100&lt;&gt;"VF"),AND(AG100="VF",V100&lt;&gt;"INM")),"",
         IF(V100="INM",IF(AG100="VF",AF100*AB100,""),
            IF(V100="PE",4.6,
            IF(V100="AL",7,"")))),
   IF('Dados da OS'!$D$8=Parâmetros!$B$6,
      IF(V100="ALI",35,IF(V100="AIE",15,"")),""))
    )
)</f>
        <v/>
      </c>
      <c r="AJ100" s="82" t="str">
        <f t="shared" si="16"/>
        <v/>
      </c>
      <c r="AK100" s="84"/>
      <c r="AL100" s="85" t="s">
        <v>21</v>
      </c>
      <c r="AM100" s="86"/>
      <c r="AN100" s="85"/>
      <c r="AO100" s="87"/>
      <c r="AP100" s="85"/>
      <c r="AQ100" s="86"/>
      <c r="AR100" s="85"/>
    </row>
    <row r="101" spans="1:44" ht="15.75" customHeight="1">
      <c r="A101" s="54"/>
      <c r="B101" s="100"/>
      <c r="C101" s="55"/>
      <c r="D101" s="55"/>
      <c r="E101" s="56"/>
      <c r="F101" s="55"/>
      <c r="G101" s="56"/>
      <c r="H101" s="55"/>
      <c r="I101" s="64"/>
      <c r="J101" s="57" t="str">
        <f t="shared" si="11"/>
        <v/>
      </c>
      <c r="K101" s="57" t="str">
        <f t="shared" si="12"/>
        <v/>
      </c>
      <c r="L101" s="57" t="str">
        <f xml:space="preserve">
IF(OR('Dados da OS'!$D$8=Parâmetros!$B$3,'Dados da OS'!$D$8=Parâmetros!$B$4),
  IF(OR(ISBLANK(D101),ISBLANK(F101)),
     IF(OR(B101="ALI",B101="AIE"),"L",IF(ISBLANK(B101),"","A")),
     IF(B101="EE",IF(F101&gt;=3,IF(D101&gt;=5,"H","A"),
     IF(F101&gt;=2,IF(D101&gt;=16,"H",IF(D101&lt;=4,"L","A")),IF(D101&lt;=15,"L","A"))),
     IF(OR(B101="SE",B101="CE"),IF(F101&gt;=4,IF(D101&gt;=6,"H","A"),IF(F101&gt;=2,IF(D101&gt;=20,"H",IF(D101&lt;=5,"L","A")),IF(D101&lt;=19,"L","A"))),
     IF(OR(B101="ALI",B101="AIE"),IF(F101&gt;=6,IF(D101&gt;=20,"H","A"),IF(F101&gt;=2,IF(D101&gt;=51,"H",IF(D101&lt;=19,"L","A")),IF(D101&lt;=50,"L","A"))))))),
IF('Dados da OS'!$D$8=Parâmetros!$B$6,"Indicativa",
IF('Dados da OS'!$D$8=Parâmetros!$B$5,"PFS","")))</f>
        <v/>
      </c>
      <c r="M101" s="57">
        <f>IFERROR(VLOOKUP(C101,'Fatores de Impacto e INMs'!$A$3:$D$32,3,0),1)</f>
        <v>1</v>
      </c>
      <c r="N101" s="57">
        <f>IFERROR(VLOOKUP(C101,'Fatores de Impacto e INMs'!$A$3:$E$32,5,0),1)</f>
        <v>1</v>
      </c>
      <c r="O101" s="63" t="str">
        <f xml:space="preserve">
IF(OR('Dados da OS'!$D$8="Selecione o tipo da contagem",ISBLANK('Dados da OS'!$D$8),B101="INM",B101="N/A",ISBLANK(B101),ISBLANK(C101),N101="VF"),"-",
   IF('Dados da OS'!$D$8=Parâmetros!$B$3,
      IF(OR(ISBLANK(D101),ISBLANK(F101)),"-",
         IF(L101="L","Baixa",IF(L101="A","Média",IF(L101="H","Alta","-")))),
      IF('Dados da OS'!$D$8=Parâmetros!$B$4,
         IF(OR(B101="ALI",B101="AIE"),"Baixa",IF(OR(B101="EE",B101="SE",B101="CE"),"Média","-")),
         IF(OR('Dados da OS'!$D$8=Parâmetros!$B$5,'Dados da OS'!$D$8=Parâmetros!$B$6),"-"))))</f>
        <v>-</v>
      </c>
      <c r="P101" s="59" t="str">
        <f xml:space="preserve">
IF(OR(ISBLANK(B101),ISBLANK(C101),B101="N/A",ISBLANK('Dados da OS'!$D$8)),"",
   IF(OR('Dados da OS'!$D$8=Parâmetros!$B$3,'Dados da OS'!$D$8=Parâmetros!$B$4),
      IF(OR(AND(B101="INM",N101&lt;&gt;"VF"),AND(N101="VF",B101&lt;&gt;"INM")),"",
        IF(AND(B101="INM",N101="VF"),IF(ISBLANK(H101),"",M101*H101),
        IF('Dados da OS'!$D$8=Parâmetros!$B$4,
           IF(OR(B101="CE",B101="EE"),4,IF(B101="SE",5,IF(B101="ALI",7,IF(B101="AIE",5,"")))),
        IF('Dados da OS'!$D$8=Parâmetros!$B$3,
           IF(OR(ISBLANK(D101),ISBLANK(F101)),"",
              IF(B101="ALI",IF(L101="L",7,IF(L101="A",10,15)),
                 IF(B101="AIE",IF(L101="L",5,IF(L101="A",7,10)),
                    IF(B101="SE",IF(L101="L",4,IF(L101="A",5,7)),
                       IF(OR(B101="EE",B101="CE"),IF(L101="L",3,IF(L101="A",4,6)),""))))))))),
   IF('Dados da OS'!$D$8=Parâmetros!$B$5,
      IF(OR(AND(B101="INM",N101&lt;&gt;"VF"),AND(N101="VF",B101&lt;&gt;"INM")),"",
         IF(B101="INM",IF(N101="VF",M101*H101,""),
            IF(B101="PE",4.6,
            IF(B101="AL",7,"")))),
   IF('Dados da OS'!$D$8=Parâmetros!$B$6,
      IF(B101="ALI",35,IF(B101="AIE",15,"")),""))
    )
)</f>
        <v/>
      </c>
      <c r="Q101" s="60" t="str">
        <f t="shared" si="13"/>
        <v/>
      </c>
      <c r="R101" s="61"/>
      <c r="S101" s="62"/>
      <c r="T101" s="80" t="s">
        <v>21</v>
      </c>
      <c r="U101" s="81"/>
      <c r="V101" s="99"/>
      <c r="W101" s="55"/>
      <c r="X101" s="55"/>
      <c r="Y101" s="56"/>
      <c r="Z101" s="55"/>
      <c r="AA101" s="56"/>
      <c r="AB101" s="55"/>
      <c r="AC101" s="57" t="str">
        <f t="shared" si="14"/>
        <v/>
      </c>
      <c r="AD101" s="57" t="str">
        <f t="shared" si="15"/>
        <v/>
      </c>
      <c r="AE101" s="57" t="str">
        <f xml:space="preserve">
IF(OR('Dados da OS'!$D$8=Parâmetros!$B$3,'Dados da OS'!$D$8=Parâmetros!$B$4),
  IF(OR(ISBLANK(X101),ISBLANK(Z101)),
     IF(OR(V101="ALI",V101="AIE"),"L",IF(ISBLANK(V101),"","A")),
     IF(V101="EE",IF(Z101&gt;=3,IF(X101&gt;=5,"H","A"),
     IF(Z101&gt;=2,IF(X101&gt;=16,"H",IF(X101&lt;=4,"L","A")),IF(X101&lt;=15,"L","A"))),
     IF(OR(V101="SE",V101="CE"),IF(Z101&gt;=4,IF(X101&gt;=6,"H","A"),IF(Z101&gt;=2,IF(X101&gt;=20,"H",IF(X101&lt;=5,"L","A")),IF(X101&lt;=19,"L","A"))),
     IF(OR(V101="ALI",V101="AIE"),IF(Z101&gt;=6,IF(X101&gt;=20,"H","A"),IF(Z101&gt;=2,IF(X101&gt;=51,"H",IF(X101&lt;=19,"L","A")),IF(X101&lt;=50,"L","A"))))))),
IF('Dados da OS'!$D$8=Parâmetros!$B$6,"Indicativa",
IF('Dados da OS'!$D$8=Parâmetros!$B$5,"PFS","")))</f>
        <v/>
      </c>
      <c r="AF101" s="57">
        <f>IFERROR(VLOOKUP(W101,'Fatores de Impacto e INMs'!$A$3:$D$32,3,0),1)</f>
        <v>1</v>
      </c>
      <c r="AG101" s="57">
        <f>IFERROR(VLOOKUP(W101,'Fatores de Impacto e INMs'!$A$3:$E$32,5,0),1)</f>
        <v>1</v>
      </c>
      <c r="AH101" s="82" t="str">
        <f xml:space="preserve">
IF(OR('Dados da OS'!$D$8="Selecione o tipo da contagem",ISBLANK('Dados da OS'!$D$8),V101="INM",V101="N/A",ISBLANK(V101),ISBLANK(W101),AG101="VF"),"-",
   IF('Dados da OS'!$D$8=Parâmetros!$B$3,
      IF(OR(ISBLANK(X101),ISBLANK(Z101)),"-",
         IF(AE101="L","Baixa",IF(AE101="A","Média",IF(AE101="H","Alta","-")))),
      IF('Dados da OS'!$D$8=Parâmetros!$B$4,
         IF(OR(V101="ALI",V101="AIE"),"Baixa",IF(OR(V101="EE",V101="SE",V101="CE"),"Média","-")),
         IF(OR('Dados da OS'!$D$8=Parâmetros!$B$5,'Dados da OS'!$D$8=Parâmetros!$B$6),"-"))))</f>
        <v>-</v>
      </c>
      <c r="AI101" s="83" t="str">
        <f xml:space="preserve">
IF(OR(ISBLANK(V101),ISBLANK(U101),ISBLANK(W101),V101="N/A",ISBLANK('Dados da OS'!$D$8)),"",
   IF(OR('Dados da OS'!$D$8=Parâmetros!$B$3,'Dados da OS'!$D$8=Parâmetros!$B$4),
      IF(OR(AND(V101="INM",AG101&lt;&gt;"VF"),AND(AG101="VF",V101&lt;&gt;"INM")),"",
        IF(AND(V101="INM",AG101="VF"),IF(ISBLANK(AB101),"",AF101*AB101),
        IF('Dados da OS'!$D$8=Parâmetros!$B$4,
           IF(OR(V101="CE",V101="EE"),4,IF(V101="SE",5,IF(V101="ALI",7,IF(V101="AIE",5,"")))),
        IF('Dados da OS'!$D$8=Parâmetros!$B$3,
           IF(OR(ISBLANK(X101),ISBLANK(Z101)),"",
              IF(V101="ALI",IF(AE101="L",7,IF(AE101="A",10,15)),
                 IF(V101="AIE",IF(AE101="L",5,IF(AE101="A",7,10)),
                    IF(V101="SE",IF(AE101="L",4,IF(AE101="A",5,7)),
                       IF(OR(V101="EE",V101="CE"),IF(AE101="L",3,IF(AE101="A",4,6)),""))))))))),
   IF('Dados da OS'!$D$8=Parâmetros!$B$5,
      IF(OR(AND(V101="INM",AG101&lt;&gt;"VF"),AND(AG101="VF",V101&lt;&gt;"INM")),"",
         IF(V101="INM",IF(AG101="VF",AF101*AB101,""),
            IF(V101="PE",4.6,
            IF(V101="AL",7,"")))),
   IF('Dados da OS'!$D$8=Parâmetros!$B$6,
      IF(V101="ALI",35,IF(V101="AIE",15,"")),""))
    )
)</f>
        <v/>
      </c>
      <c r="AJ101" s="82" t="str">
        <f t="shared" si="16"/>
        <v/>
      </c>
      <c r="AK101" s="84"/>
      <c r="AL101" s="85" t="s">
        <v>21</v>
      </c>
      <c r="AM101" s="86"/>
      <c r="AN101" s="85"/>
      <c r="AO101" s="87"/>
      <c r="AP101" s="85"/>
      <c r="AQ101" s="86"/>
      <c r="AR101" s="85"/>
    </row>
    <row r="102" spans="1:44" ht="15.75" customHeight="1">
      <c r="A102" s="54"/>
      <c r="B102" s="100"/>
      <c r="C102" s="55"/>
      <c r="D102" s="55"/>
      <c r="E102" s="56"/>
      <c r="F102" s="55"/>
      <c r="G102" s="56"/>
      <c r="H102" s="55"/>
      <c r="I102" s="64"/>
      <c r="J102" s="57" t="str">
        <f t="shared" si="11"/>
        <v/>
      </c>
      <c r="K102" s="57" t="str">
        <f t="shared" si="12"/>
        <v/>
      </c>
      <c r="L102" s="57" t="str">
        <f xml:space="preserve">
IF(OR('Dados da OS'!$D$8=Parâmetros!$B$3,'Dados da OS'!$D$8=Parâmetros!$B$4),
  IF(OR(ISBLANK(D102),ISBLANK(F102)),
     IF(OR(B102="ALI",B102="AIE"),"L",IF(ISBLANK(B102),"","A")),
     IF(B102="EE",IF(F102&gt;=3,IF(D102&gt;=5,"H","A"),
     IF(F102&gt;=2,IF(D102&gt;=16,"H",IF(D102&lt;=4,"L","A")),IF(D102&lt;=15,"L","A"))),
     IF(OR(B102="SE",B102="CE"),IF(F102&gt;=4,IF(D102&gt;=6,"H","A"),IF(F102&gt;=2,IF(D102&gt;=20,"H",IF(D102&lt;=5,"L","A")),IF(D102&lt;=19,"L","A"))),
     IF(OR(B102="ALI",B102="AIE"),IF(F102&gt;=6,IF(D102&gt;=20,"H","A"),IF(F102&gt;=2,IF(D102&gt;=51,"H",IF(D102&lt;=19,"L","A")),IF(D102&lt;=50,"L","A"))))))),
IF('Dados da OS'!$D$8=Parâmetros!$B$6,"Indicativa",
IF('Dados da OS'!$D$8=Parâmetros!$B$5,"PFS","")))</f>
        <v/>
      </c>
      <c r="M102" s="57">
        <f>IFERROR(VLOOKUP(C102,'Fatores de Impacto e INMs'!$A$3:$D$32,3,0),1)</f>
        <v>1</v>
      </c>
      <c r="N102" s="57">
        <f>IFERROR(VLOOKUP(C102,'Fatores de Impacto e INMs'!$A$3:$E$32,5,0),1)</f>
        <v>1</v>
      </c>
      <c r="O102" s="63" t="str">
        <f xml:space="preserve">
IF(OR('Dados da OS'!$D$8="Selecione o tipo da contagem",ISBLANK('Dados da OS'!$D$8),B102="INM",B102="N/A",ISBLANK(B102),ISBLANK(C102),N102="VF"),"-",
   IF('Dados da OS'!$D$8=Parâmetros!$B$3,
      IF(OR(ISBLANK(D102),ISBLANK(F102)),"-",
         IF(L102="L","Baixa",IF(L102="A","Média",IF(L102="H","Alta","-")))),
      IF('Dados da OS'!$D$8=Parâmetros!$B$4,
         IF(OR(B102="ALI",B102="AIE"),"Baixa",IF(OR(B102="EE",B102="SE",B102="CE"),"Média","-")),
         IF(OR('Dados da OS'!$D$8=Parâmetros!$B$5,'Dados da OS'!$D$8=Parâmetros!$B$6),"-"))))</f>
        <v>-</v>
      </c>
      <c r="P102" s="59" t="str">
        <f xml:space="preserve">
IF(OR(ISBLANK(B102),ISBLANK(C102),B102="N/A",ISBLANK('Dados da OS'!$D$8)),"",
   IF(OR('Dados da OS'!$D$8=Parâmetros!$B$3,'Dados da OS'!$D$8=Parâmetros!$B$4),
      IF(OR(AND(B102="INM",N102&lt;&gt;"VF"),AND(N102="VF",B102&lt;&gt;"INM")),"",
        IF(AND(B102="INM",N102="VF"),IF(ISBLANK(H102),"",M102*H102),
        IF('Dados da OS'!$D$8=Parâmetros!$B$4,
           IF(OR(B102="CE",B102="EE"),4,IF(B102="SE",5,IF(B102="ALI",7,IF(B102="AIE",5,"")))),
        IF('Dados da OS'!$D$8=Parâmetros!$B$3,
           IF(OR(ISBLANK(D102),ISBLANK(F102)),"",
              IF(B102="ALI",IF(L102="L",7,IF(L102="A",10,15)),
                 IF(B102="AIE",IF(L102="L",5,IF(L102="A",7,10)),
                    IF(B102="SE",IF(L102="L",4,IF(L102="A",5,7)),
                       IF(OR(B102="EE",B102="CE"),IF(L102="L",3,IF(L102="A",4,6)),""))))))))),
   IF('Dados da OS'!$D$8=Parâmetros!$B$5,
      IF(OR(AND(B102="INM",N102&lt;&gt;"VF"),AND(N102="VF",B102&lt;&gt;"INM")),"",
         IF(B102="INM",IF(N102="VF",M102*H102,""),
            IF(B102="PE",4.6,
            IF(B102="AL",7,"")))),
   IF('Dados da OS'!$D$8=Parâmetros!$B$6,
      IF(B102="ALI",35,IF(B102="AIE",15,"")),""))
    )
)</f>
        <v/>
      </c>
      <c r="Q102" s="60" t="str">
        <f t="shared" si="13"/>
        <v/>
      </c>
      <c r="R102" s="61"/>
      <c r="S102" s="62"/>
      <c r="T102" s="80" t="s">
        <v>21</v>
      </c>
      <c r="U102" s="81"/>
      <c r="V102" s="99"/>
      <c r="W102" s="55"/>
      <c r="X102" s="55"/>
      <c r="Y102" s="56"/>
      <c r="Z102" s="55"/>
      <c r="AA102" s="56"/>
      <c r="AB102" s="55"/>
      <c r="AC102" s="57" t="str">
        <f t="shared" si="14"/>
        <v/>
      </c>
      <c r="AD102" s="57" t="str">
        <f t="shared" si="15"/>
        <v/>
      </c>
      <c r="AE102" s="57" t="str">
        <f xml:space="preserve">
IF(OR('Dados da OS'!$D$8=Parâmetros!$B$3,'Dados da OS'!$D$8=Parâmetros!$B$4),
  IF(OR(ISBLANK(X102),ISBLANK(Z102)),
     IF(OR(V102="ALI",V102="AIE"),"L",IF(ISBLANK(V102),"","A")),
     IF(V102="EE",IF(Z102&gt;=3,IF(X102&gt;=5,"H","A"),
     IF(Z102&gt;=2,IF(X102&gt;=16,"H",IF(X102&lt;=4,"L","A")),IF(X102&lt;=15,"L","A"))),
     IF(OR(V102="SE",V102="CE"),IF(Z102&gt;=4,IF(X102&gt;=6,"H","A"),IF(Z102&gt;=2,IF(X102&gt;=20,"H",IF(X102&lt;=5,"L","A")),IF(X102&lt;=19,"L","A"))),
     IF(OR(V102="ALI",V102="AIE"),IF(Z102&gt;=6,IF(X102&gt;=20,"H","A"),IF(Z102&gt;=2,IF(X102&gt;=51,"H",IF(X102&lt;=19,"L","A")),IF(X102&lt;=50,"L","A"))))))),
IF('Dados da OS'!$D$8=Parâmetros!$B$6,"Indicativa",
IF('Dados da OS'!$D$8=Parâmetros!$B$5,"PFS","")))</f>
        <v/>
      </c>
      <c r="AF102" s="57">
        <f>IFERROR(VLOOKUP(W102,'Fatores de Impacto e INMs'!$A$3:$D$32,3,0),1)</f>
        <v>1</v>
      </c>
      <c r="AG102" s="57">
        <f>IFERROR(VLOOKUP(W102,'Fatores de Impacto e INMs'!$A$3:$E$32,5,0),1)</f>
        <v>1</v>
      </c>
      <c r="AH102" s="82" t="str">
        <f xml:space="preserve">
IF(OR('Dados da OS'!$D$8="Selecione o tipo da contagem",ISBLANK('Dados da OS'!$D$8),V102="INM",V102="N/A",ISBLANK(V102),ISBLANK(W102),AG102="VF"),"-",
   IF('Dados da OS'!$D$8=Parâmetros!$B$3,
      IF(OR(ISBLANK(X102),ISBLANK(Z102)),"-",
         IF(AE102="L","Baixa",IF(AE102="A","Média",IF(AE102="H","Alta","-")))),
      IF('Dados da OS'!$D$8=Parâmetros!$B$4,
         IF(OR(V102="ALI",V102="AIE"),"Baixa",IF(OR(V102="EE",V102="SE",V102="CE"),"Média","-")),
         IF(OR('Dados da OS'!$D$8=Parâmetros!$B$5,'Dados da OS'!$D$8=Parâmetros!$B$6),"-"))))</f>
        <v>-</v>
      </c>
      <c r="AI102" s="83" t="str">
        <f xml:space="preserve">
IF(OR(ISBLANK(V102),ISBLANK(U102),ISBLANK(W102),V102="N/A",ISBLANK('Dados da OS'!$D$8)),"",
   IF(OR('Dados da OS'!$D$8=Parâmetros!$B$3,'Dados da OS'!$D$8=Parâmetros!$B$4),
      IF(OR(AND(V102="INM",AG102&lt;&gt;"VF"),AND(AG102="VF",V102&lt;&gt;"INM")),"",
        IF(AND(V102="INM",AG102="VF"),IF(ISBLANK(AB102),"",AF102*AB102),
        IF('Dados da OS'!$D$8=Parâmetros!$B$4,
           IF(OR(V102="CE",V102="EE"),4,IF(V102="SE",5,IF(V102="ALI",7,IF(V102="AIE",5,"")))),
        IF('Dados da OS'!$D$8=Parâmetros!$B$3,
           IF(OR(ISBLANK(X102),ISBLANK(Z102)),"",
              IF(V102="ALI",IF(AE102="L",7,IF(AE102="A",10,15)),
                 IF(V102="AIE",IF(AE102="L",5,IF(AE102="A",7,10)),
                    IF(V102="SE",IF(AE102="L",4,IF(AE102="A",5,7)),
                       IF(OR(V102="EE",V102="CE"),IF(AE102="L",3,IF(AE102="A",4,6)),""))))))))),
   IF('Dados da OS'!$D$8=Parâmetros!$B$5,
      IF(OR(AND(V102="INM",AG102&lt;&gt;"VF"),AND(AG102="VF",V102&lt;&gt;"INM")),"",
         IF(V102="INM",IF(AG102="VF",AF102*AB102,""),
            IF(V102="PE",4.6,
            IF(V102="AL",7,"")))),
   IF('Dados da OS'!$D$8=Parâmetros!$B$6,
      IF(V102="ALI",35,IF(V102="AIE",15,"")),""))
    )
)</f>
        <v/>
      </c>
      <c r="AJ102" s="82" t="str">
        <f t="shared" si="16"/>
        <v/>
      </c>
      <c r="AK102" s="84"/>
      <c r="AL102" s="85" t="s">
        <v>21</v>
      </c>
      <c r="AM102" s="86"/>
      <c r="AN102" s="85"/>
      <c r="AO102" s="87"/>
      <c r="AP102" s="85"/>
      <c r="AQ102" s="86"/>
      <c r="AR102" s="85"/>
    </row>
    <row r="103" spans="1:44" ht="15.75" customHeight="1">
      <c r="A103" s="54"/>
      <c r="B103" s="100"/>
      <c r="C103" s="55"/>
      <c r="D103" s="55"/>
      <c r="E103" s="56"/>
      <c r="F103" s="55"/>
      <c r="G103" s="56"/>
      <c r="H103" s="55"/>
      <c r="I103" s="64"/>
      <c r="J103" s="57" t="str">
        <f t="shared" si="11"/>
        <v/>
      </c>
      <c r="K103" s="57" t="str">
        <f t="shared" si="12"/>
        <v/>
      </c>
      <c r="L103" s="57" t="str">
        <f xml:space="preserve">
IF(OR('Dados da OS'!$D$8=Parâmetros!$B$3,'Dados da OS'!$D$8=Parâmetros!$B$4),
  IF(OR(ISBLANK(D103),ISBLANK(F103)),
     IF(OR(B103="ALI",B103="AIE"),"L",IF(ISBLANK(B103),"","A")),
     IF(B103="EE",IF(F103&gt;=3,IF(D103&gt;=5,"H","A"),
     IF(F103&gt;=2,IF(D103&gt;=16,"H",IF(D103&lt;=4,"L","A")),IF(D103&lt;=15,"L","A"))),
     IF(OR(B103="SE",B103="CE"),IF(F103&gt;=4,IF(D103&gt;=6,"H","A"),IF(F103&gt;=2,IF(D103&gt;=20,"H",IF(D103&lt;=5,"L","A")),IF(D103&lt;=19,"L","A"))),
     IF(OR(B103="ALI",B103="AIE"),IF(F103&gt;=6,IF(D103&gt;=20,"H","A"),IF(F103&gt;=2,IF(D103&gt;=51,"H",IF(D103&lt;=19,"L","A")),IF(D103&lt;=50,"L","A"))))))),
IF('Dados da OS'!$D$8=Parâmetros!$B$6,"Indicativa",
IF('Dados da OS'!$D$8=Parâmetros!$B$5,"PFS","")))</f>
        <v/>
      </c>
      <c r="M103" s="57">
        <f>IFERROR(VLOOKUP(C103,'Fatores de Impacto e INMs'!$A$3:$D$32,3,0),1)</f>
        <v>1</v>
      </c>
      <c r="N103" s="57">
        <f>IFERROR(VLOOKUP(C103,'Fatores de Impacto e INMs'!$A$3:$E$32,5,0),1)</f>
        <v>1</v>
      </c>
      <c r="O103" s="63" t="str">
        <f xml:space="preserve">
IF(OR('Dados da OS'!$D$8="Selecione o tipo da contagem",ISBLANK('Dados da OS'!$D$8),B103="INM",B103="N/A",ISBLANK(B103),ISBLANK(C103),N103="VF"),"-",
   IF('Dados da OS'!$D$8=Parâmetros!$B$3,
      IF(OR(ISBLANK(D103),ISBLANK(F103)),"-",
         IF(L103="L","Baixa",IF(L103="A","Média",IF(L103="H","Alta","-")))),
      IF('Dados da OS'!$D$8=Parâmetros!$B$4,
         IF(OR(B103="ALI",B103="AIE"),"Baixa",IF(OR(B103="EE",B103="SE",B103="CE"),"Média","-")),
         IF(OR('Dados da OS'!$D$8=Parâmetros!$B$5,'Dados da OS'!$D$8=Parâmetros!$B$6),"-"))))</f>
        <v>-</v>
      </c>
      <c r="P103" s="59" t="str">
        <f xml:space="preserve">
IF(OR(ISBLANK(B103),ISBLANK(C103),B103="N/A",ISBLANK('Dados da OS'!$D$8)),"",
   IF(OR('Dados da OS'!$D$8=Parâmetros!$B$3,'Dados da OS'!$D$8=Parâmetros!$B$4),
      IF(OR(AND(B103="INM",N103&lt;&gt;"VF"),AND(N103="VF",B103&lt;&gt;"INM")),"",
        IF(AND(B103="INM",N103="VF"),IF(ISBLANK(H103),"",M103*H103),
        IF('Dados da OS'!$D$8=Parâmetros!$B$4,
           IF(OR(B103="CE",B103="EE"),4,IF(B103="SE",5,IF(B103="ALI",7,IF(B103="AIE",5,"")))),
        IF('Dados da OS'!$D$8=Parâmetros!$B$3,
           IF(OR(ISBLANK(D103),ISBLANK(F103)),"",
              IF(B103="ALI",IF(L103="L",7,IF(L103="A",10,15)),
                 IF(B103="AIE",IF(L103="L",5,IF(L103="A",7,10)),
                    IF(B103="SE",IF(L103="L",4,IF(L103="A",5,7)),
                       IF(OR(B103="EE",B103="CE"),IF(L103="L",3,IF(L103="A",4,6)),""))))))))),
   IF('Dados da OS'!$D$8=Parâmetros!$B$5,
      IF(OR(AND(B103="INM",N103&lt;&gt;"VF"),AND(N103="VF",B103&lt;&gt;"INM")),"",
         IF(B103="INM",IF(N103="VF",M103*H103,""),
            IF(B103="PE",4.6,
            IF(B103="AL",7,"")))),
   IF('Dados da OS'!$D$8=Parâmetros!$B$6,
      IF(B103="ALI",35,IF(B103="AIE",15,"")),""))
    )
)</f>
        <v/>
      </c>
      <c r="Q103" s="60" t="str">
        <f t="shared" si="13"/>
        <v/>
      </c>
      <c r="R103" s="61"/>
      <c r="S103" s="62"/>
      <c r="T103" s="80" t="s">
        <v>21</v>
      </c>
      <c r="U103" s="81"/>
      <c r="V103" s="99"/>
      <c r="W103" s="55"/>
      <c r="X103" s="55"/>
      <c r="Y103" s="56"/>
      <c r="Z103" s="55"/>
      <c r="AA103" s="56"/>
      <c r="AB103" s="55"/>
      <c r="AC103" s="57" t="str">
        <f t="shared" si="14"/>
        <v/>
      </c>
      <c r="AD103" s="57" t="str">
        <f t="shared" si="15"/>
        <v/>
      </c>
      <c r="AE103" s="57" t="str">
        <f xml:space="preserve">
IF(OR('Dados da OS'!$D$8=Parâmetros!$B$3,'Dados da OS'!$D$8=Parâmetros!$B$4),
  IF(OR(ISBLANK(X103),ISBLANK(Z103)),
     IF(OR(V103="ALI",V103="AIE"),"L",IF(ISBLANK(V103),"","A")),
     IF(V103="EE",IF(Z103&gt;=3,IF(X103&gt;=5,"H","A"),
     IF(Z103&gt;=2,IF(X103&gt;=16,"H",IF(X103&lt;=4,"L","A")),IF(X103&lt;=15,"L","A"))),
     IF(OR(V103="SE",V103="CE"),IF(Z103&gt;=4,IF(X103&gt;=6,"H","A"),IF(Z103&gt;=2,IF(X103&gt;=20,"H",IF(X103&lt;=5,"L","A")),IF(X103&lt;=19,"L","A"))),
     IF(OR(V103="ALI",V103="AIE"),IF(Z103&gt;=6,IF(X103&gt;=20,"H","A"),IF(Z103&gt;=2,IF(X103&gt;=51,"H",IF(X103&lt;=19,"L","A")),IF(X103&lt;=50,"L","A"))))))),
IF('Dados da OS'!$D$8=Parâmetros!$B$6,"Indicativa",
IF('Dados da OS'!$D$8=Parâmetros!$B$5,"PFS","")))</f>
        <v/>
      </c>
      <c r="AF103" s="57">
        <f>IFERROR(VLOOKUP(W103,'Fatores de Impacto e INMs'!$A$3:$D$32,3,0),1)</f>
        <v>1</v>
      </c>
      <c r="AG103" s="57">
        <f>IFERROR(VLOOKUP(W103,'Fatores de Impacto e INMs'!$A$3:$E$32,5,0),1)</f>
        <v>1</v>
      </c>
      <c r="AH103" s="82" t="str">
        <f xml:space="preserve">
IF(OR('Dados da OS'!$D$8="Selecione o tipo da contagem",ISBLANK('Dados da OS'!$D$8),V103="INM",V103="N/A",ISBLANK(V103),ISBLANK(W103),AG103="VF"),"-",
   IF('Dados da OS'!$D$8=Parâmetros!$B$3,
      IF(OR(ISBLANK(X103),ISBLANK(Z103)),"-",
         IF(AE103="L","Baixa",IF(AE103="A","Média",IF(AE103="H","Alta","-")))),
      IF('Dados da OS'!$D$8=Parâmetros!$B$4,
         IF(OR(V103="ALI",V103="AIE"),"Baixa",IF(OR(V103="EE",V103="SE",V103="CE"),"Média","-")),
         IF(OR('Dados da OS'!$D$8=Parâmetros!$B$5,'Dados da OS'!$D$8=Parâmetros!$B$6),"-"))))</f>
        <v>-</v>
      </c>
      <c r="AI103" s="83" t="str">
        <f xml:space="preserve">
IF(OR(ISBLANK(V103),ISBLANK(U103),ISBLANK(W103),V103="N/A",ISBLANK('Dados da OS'!$D$8)),"",
   IF(OR('Dados da OS'!$D$8=Parâmetros!$B$3,'Dados da OS'!$D$8=Parâmetros!$B$4),
      IF(OR(AND(V103="INM",AG103&lt;&gt;"VF"),AND(AG103="VF",V103&lt;&gt;"INM")),"",
        IF(AND(V103="INM",AG103="VF"),IF(ISBLANK(AB103),"",AF103*AB103),
        IF('Dados da OS'!$D$8=Parâmetros!$B$4,
           IF(OR(V103="CE",V103="EE"),4,IF(V103="SE",5,IF(V103="ALI",7,IF(V103="AIE",5,"")))),
        IF('Dados da OS'!$D$8=Parâmetros!$B$3,
           IF(OR(ISBLANK(X103),ISBLANK(Z103)),"",
              IF(V103="ALI",IF(AE103="L",7,IF(AE103="A",10,15)),
                 IF(V103="AIE",IF(AE103="L",5,IF(AE103="A",7,10)),
                    IF(V103="SE",IF(AE103="L",4,IF(AE103="A",5,7)),
                       IF(OR(V103="EE",V103="CE"),IF(AE103="L",3,IF(AE103="A",4,6)),""))))))))),
   IF('Dados da OS'!$D$8=Parâmetros!$B$5,
      IF(OR(AND(V103="INM",AG103&lt;&gt;"VF"),AND(AG103="VF",V103&lt;&gt;"INM")),"",
         IF(V103="INM",IF(AG103="VF",AF103*AB103,""),
            IF(V103="PE",4.6,
            IF(V103="AL",7,"")))),
   IF('Dados da OS'!$D$8=Parâmetros!$B$6,
      IF(V103="ALI",35,IF(V103="AIE",15,"")),""))
    )
)</f>
        <v/>
      </c>
      <c r="AJ103" s="82" t="str">
        <f t="shared" si="16"/>
        <v/>
      </c>
      <c r="AK103" s="84"/>
      <c r="AL103" s="85" t="s">
        <v>21</v>
      </c>
      <c r="AM103" s="86"/>
      <c r="AN103" s="85"/>
      <c r="AO103" s="87"/>
      <c r="AP103" s="85"/>
      <c r="AQ103" s="86"/>
      <c r="AR103" s="85"/>
    </row>
    <row r="104" spans="1:44" ht="15.75" customHeight="1">
      <c r="A104" s="54"/>
      <c r="B104" s="100"/>
      <c r="C104" s="55"/>
      <c r="D104" s="55"/>
      <c r="E104" s="56"/>
      <c r="F104" s="55"/>
      <c r="G104" s="56"/>
      <c r="H104" s="55"/>
      <c r="I104" s="64"/>
      <c r="J104" s="57" t="str">
        <f t="shared" si="11"/>
        <v/>
      </c>
      <c r="K104" s="57" t="str">
        <f t="shared" si="12"/>
        <v/>
      </c>
      <c r="L104" s="57" t="str">
        <f xml:space="preserve">
IF(OR('Dados da OS'!$D$8=Parâmetros!$B$3,'Dados da OS'!$D$8=Parâmetros!$B$4),
  IF(OR(ISBLANK(D104),ISBLANK(F104)),
     IF(OR(B104="ALI",B104="AIE"),"L",IF(ISBLANK(B104),"","A")),
     IF(B104="EE",IF(F104&gt;=3,IF(D104&gt;=5,"H","A"),
     IF(F104&gt;=2,IF(D104&gt;=16,"H",IF(D104&lt;=4,"L","A")),IF(D104&lt;=15,"L","A"))),
     IF(OR(B104="SE",B104="CE"),IF(F104&gt;=4,IF(D104&gt;=6,"H","A"),IF(F104&gt;=2,IF(D104&gt;=20,"H",IF(D104&lt;=5,"L","A")),IF(D104&lt;=19,"L","A"))),
     IF(OR(B104="ALI",B104="AIE"),IF(F104&gt;=6,IF(D104&gt;=20,"H","A"),IF(F104&gt;=2,IF(D104&gt;=51,"H",IF(D104&lt;=19,"L","A")),IF(D104&lt;=50,"L","A"))))))),
IF('Dados da OS'!$D$8=Parâmetros!$B$6,"Indicativa",
IF('Dados da OS'!$D$8=Parâmetros!$B$5,"PFS","")))</f>
        <v/>
      </c>
      <c r="M104" s="57">
        <f>IFERROR(VLOOKUP(C104,'Fatores de Impacto e INMs'!$A$3:$D$32,3,0),1)</f>
        <v>1</v>
      </c>
      <c r="N104" s="57">
        <f>IFERROR(VLOOKUP(C104,'Fatores de Impacto e INMs'!$A$3:$E$32,5,0),1)</f>
        <v>1</v>
      </c>
      <c r="O104" s="63" t="str">
        <f xml:space="preserve">
IF(OR('Dados da OS'!$D$8="Selecione o tipo da contagem",ISBLANK('Dados da OS'!$D$8),B104="INM",B104="N/A",ISBLANK(B104),ISBLANK(C104),N104="VF"),"-",
   IF('Dados da OS'!$D$8=Parâmetros!$B$3,
      IF(OR(ISBLANK(D104),ISBLANK(F104)),"-",
         IF(L104="L","Baixa",IF(L104="A","Média",IF(L104="H","Alta","-")))),
      IF('Dados da OS'!$D$8=Parâmetros!$B$4,
         IF(OR(B104="ALI",B104="AIE"),"Baixa",IF(OR(B104="EE",B104="SE",B104="CE"),"Média","-")),
         IF(OR('Dados da OS'!$D$8=Parâmetros!$B$5,'Dados da OS'!$D$8=Parâmetros!$B$6),"-"))))</f>
        <v>-</v>
      </c>
      <c r="P104" s="59" t="str">
        <f xml:space="preserve">
IF(OR(ISBLANK(B104),ISBLANK(C104),B104="N/A",ISBLANK('Dados da OS'!$D$8)),"",
   IF(OR('Dados da OS'!$D$8=Parâmetros!$B$3,'Dados da OS'!$D$8=Parâmetros!$B$4),
      IF(OR(AND(B104="INM",N104&lt;&gt;"VF"),AND(N104="VF",B104&lt;&gt;"INM")),"",
        IF(AND(B104="INM",N104="VF"),IF(ISBLANK(H104),"",M104*H104),
        IF('Dados da OS'!$D$8=Parâmetros!$B$4,
           IF(OR(B104="CE",B104="EE"),4,IF(B104="SE",5,IF(B104="ALI",7,IF(B104="AIE",5,"")))),
        IF('Dados da OS'!$D$8=Parâmetros!$B$3,
           IF(OR(ISBLANK(D104),ISBLANK(F104)),"",
              IF(B104="ALI",IF(L104="L",7,IF(L104="A",10,15)),
                 IF(B104="AIE",IF(L104="L",5,IF(L104="A",7,10)),
                    IF(B104="SE",IF(L104="L",4,IF(L104="A",5,7)),
                       IF(OR(B104="EE",B104="CE"),IF(L104="L",3,IF(L104="A",4,6)),""))))))))),
   IF('Dados da OS'!$D$8=Parâmetros!$B$5,
      IF(OR(AND(B104="INM",N104&lt;&gt;"VF"),AND(N104="VF",B104&lt;&gt;"INM")),"",
         IF(B104="INM",IF(N104="VF",M104*H104,""),
            IF(B104="PE",4.6,
            IF(B104="AL",7,"")))),
   IF('Dados da OS'!$D$8=Parâmetros!$B$6,
      IF(B104="ALI",35,IF(B104="AIE",15,"")),""))
    )
)</f>
        <v/>
      </c>
      <c r="Q104" s="60" t="str">
        <f t="shared" si="13"/>
        <v/>
      </c>
      <c r="R104" s="61"/>
      <c r="S104" s="62"/>
      <c r="T104" s="80" t="s">
        <v>21</v>
      </c>
      <c r="U104" s="81"/>
      <c r="V104" s="99"/>
      <c r="W104" s="55"/>
      <c r="X104" s="55"/>
      <c r="Y104" s="56"/>
      <c r="Z104" s="55"/>
      <c r="AA104" s="56"/>
      <c r="AB104" s="55"/>
      <c r="AC104" s="57" t="str">
        <f t="shared" si="14"/>
        <v/>
      </c>
      <c r="AD104" s="57" t="str">
        <f t="shared" si="15"/>
        <v/>
      </c>
      <c r="AE104" s="57" t="str">
        <f xml:space="preserve">
IF(OR('Dados da OS'!$D$8=Parâmetros!$B$3,'Dados da OS'!$D$8=Parâmetros!$B$4),
  IF(OR(ISBLANK(X104),ISBLANK(Z104)),
     IF(OR(V104="ALI",V104="AIE"),"L",IF(ISBLANK(V104),"","A")),
     IF(V104="EE",IF(Z104&gt;=3,IF(X104&gt;=5,"H","A"),
     IF(Z104&gt;=2,IF(X104&gt;=16,"H",IF(X104&lt;=4,"L","A")),IF(X104&lt;=15,"L","A"))),
     IF(OR(V104="SE",V104="CE"),IF(Z104&gt;=4,IF(X104&gt;=6,"H","A"),IF(Z104&gt;=2,IF(X104&gt;=20,"H",IF(X104&lt;=5,"L","A")),IF(X104&lt;=19,"L","A"))),
     IF(OR(V104="ALI",V104="AIE"),IF(Z104&gt;=6,IF(X104&gt;=20,"H","A"),IF(Z104&gt;=2,IF(X104&gt;=51,"H",IF(X104&lt;=19,"L","A")),IF(X104&lt;=50,"L","A"))))))),
IF('Dados da OS'!$D$8=Parâmetros!$B$6,"Indicativa",
IF('Dados da OS'!$D$8=Parâmetros!$B$5,"PFS","")))</f>
        <v/>
      </c>
      <c r="AF104" s="57">
        <f>IFERROR(VLOOKUP(W104,'Fatores de Impacto e INMs'!$A$3:$D$32,3,0),1)</f>
        <v>1</v>
      </c>
      <c r="AG104" s="57">
        <f>IFERROR(VLOOKUP(W104,'Fatores de Impacto e INMs'!$A$3:$E$32,5,0),1)</f>
        <v>1</v>
      </c>
      <c r="AH104" s="82" t="str">
        <f xml:space="preserve">
IF(OR('Dados da OS'!$D$8="Selecione o tipo da contagem",ISBLANK('Dados da OS'!$D$8),V104="INM",V104="N/A",ISBLANK(V104),ISBLANK(W104),AG104="VF"),"-",
   IF('Dados da OS'!$D$8=Parâmetros!$B$3,
      IF(OR(ISBLANK(X104),ISBLANK(Z104)),"-",
         IF(AE104="L","Baixa",IF(AE104="A","Média",IF(AE104="H","Alta","-")))),
      IF('Dados da OS'!$D$8=Parâmetros!$B$4,
         IF(OR(V104="ALI",V104="AIE"),"Baixa",IF(OR(V104="EE",V104="SE",V104="CE"),"Média","-")),
         IF(OR('Dados da OS'!$D$8=Parâmetros!$B$5,'Dados da OS'!$D$8=Parâmetros!$B$6),"-"))))</f>
        <v>-</v>
      </c>
      <c r="AI104" s="83" t="str">
        <f xml:space="preserve">
IF(OR(ISBLANK(V104),ISBLANK(U104),ISBLANK(W104),V104="N/A",ISBLANK('Dados da OS'!$D$8)),"",
   IF(OR('Dados da OS'!$D$8=Parâmetros!$B$3,'Dados da OS'!$D$8=Parâmetros!$B$4),
      IF(OR(AND(V104="INM",AG104&lt;&gt;"VF"),AND(AG104="VF",V104&lt;&gt;"INM")),"",
        IF(AND(V104="INM",AG104="VF"),IF(ISBLANK(AB104),"",AF104*AB104),
        IF('Dados da OS'!$D$8=Parâmetros!$B$4,
           IF(OR(V104="CE",V104="EE"),4,IF(V104="SE",5,IF(V104="ALI",7,IF(V104="AIE",5,"")))),
        IF('Dados da OS'!$D$8=Parâmetros!$B$3,
           IF(OR(ISBLANK(X104),ISBLANK(Z104)),"",
              IF(V104="ALI",IF(AE104="L",7,IF(AE104="A",10,15)),
                 IF(V104="AIE",IF(AE104="L",5,IF(AE104="A",7,10)),
                    IF(V104="SE",IF(AE104="L",4,IF(AE104="A",5,7)),
                       IF(OR(V104="EE",V104="CE"),IF(AE104="L",3,IF(AE104="A",4,6)),""))))))))),
   IF('Dados da OS'!$D$8=Parâmetros!$B$5,
      IF(OR(AND(V104="INM",AG104&lt;&gt;"VF"),AND(AG104="VF",V104&lt;&gt;"INM")),"",
         IF(V104="INM",IF(AG104="VF",AF104*AB104,""),
            IF(V104="PE",4.6,
            IF(V104="AL",7,"")))),
   IF('Dados da OS'!$D$8=Parâmetros!$B$6,
      IF(V104="ALI",35,IF(V104="AIE",15,"")),""))
    )
)</f>
        <v/>
      </c>
      <c r="AJ104" s="82" t="str">
        <f t="shared" si="16"/>
        <v/>
      </c>
      <c r="AK104" s="84"/>
      <c r="AL104" s="85" t="s">
        <v>21</v>
      </c>
      <c r="AM104" s="86"/>
      <c r="AN104" s="85"/>
      <c r="AO104" s="87"/>
      <c r="AP104" s="85"/>
      <c r="AQ104" s="86"/>
      <c r="AR104" s="85"/>
    </row>
    <row r="105" spans="1:44" ht="15.75" customHeight="1">
      <c r="A105" s="54"/>
      <c r="B105" s="100"/>
      <c r="C105" s="55"/>
      <c r="D105" s="55"/>
      <c r="E105" s="56"/>
      <c r="F105" s="55"/>
      <c r="G105" s="56"/>
      <c r="H105" s="55"/>
      <c r="I105" s="64"/>
      <c r="J105" s="57" t="str">
        <f t="shared" si="11"/>
        <v/>
      </c>
      <c r="K105" s="57" t="str">
        <f t="shared" si="12"/>
        <v/>
      </c>
      <c r="L105" s="57" t="str">
        <f xml:space="preserve">
IF(OR('Dados da OS'!$D$8=Parâmetros!$B$3,'Dados da OS'!$D$8=Parâmetros!$B$4),
  IF(OR(ISBLANK(D105),ISBLANK(F105)),
     IF(OR(B105="ALI",B105="AIE"),"L",IF(ISBLANK(B105),"","A")),
     IF(B105="EE",IF(F105&gt;=3,IF(D105&gt;=5,"H","A"),
     IF(F105&gt;=2,IF(D105&gt;=16,"H",IF(D105&lt;=4,"L","A")),IF(D105&lt;=15,"L","A"))),
     IF(OR(B105="SE",B105="CE"),IF(F105&gt;=4,IF(D105&gt;=6,"H","A"),IF(F105&gt;=2,IF(D105&gt;=20,"H",IF(D105&lt;=5,"L","A")),IF(D105&lt;=19,"L","A"))),
     IF(OR(B105="ALI",B105="AIE"),IF(F105&gt;=6,IF(D105&gt;=20,"H","A"),IF(F105&gt;=2,IF(D105&gt;=51,"H",IF(D105&lt;=19,"L","A")),IF(D105&lt;=50,"L","A"))))))),
IF('Dados da OS'!$D$8=Parâmetros!$B$6,"Indicativa",
IF('Dados da OS'!$D$8=Parâmetros!$B$5,"PFS","")))</f>
        <v/>
      </c>
      <c r="M105" s="57">
        <f>IFERROR(VLOOKUP(C105,'Fatores de Impacto e INMs'!$A$3:$D$32,3,0),1)</f>
        <v>1</v>
      </c>
      <c r="N105" s="57">
        <f>IFERROR(VLOOKUP(C105,'Fatores de Impacto e INMs'!$A$3:$E$32,5,0),1)</f>
        <v>1</v>
      </c>
      <c r="O105" s="63" t="str">
        <f xml:space="preserve">
IF(OR('Dados da OS'!$D$8="Selecione o tipo da contagem",ISBLANK('Dados da OS'!$D$8),B105="INM",B105="N/A",ISBLANK(B105),ISBLANK(C105),N105="VF"),"-",
   IF('Dados da OS'!$D$8=Parâmetros!$B$3,
      IF(OR(ISBLANK(D105),ISBLANK(F105)),"-",
         IF(L105="L","Baixa",IF(L105="A","Média",IF(L105="H","Alta","-")))),
      IF('Dados da OS'!$D$8=Parâmetros!$B$4,
         IF(OR(B105="ALI",B105="AIE"),"Baixa",IF(OR(B105="EE",B105="SE",B105="CE"),"Média","-")),
         IF(OR('Dados da OS'!$D$8=Parâmetros!$B$5,'Dados da OS'!$D$8=Parâmetros!$B$6),"-"))))</f>
        <v>-</v>
      </c>
      <c r="P105" s="59" t="str">
        <f xml:space="preserve">
IF(OR(ISBLANK(B105),ISBLANK(C105),B105="N/A",ISBLANK('Dados da OS'!$D$8)),"",
   IF(OR('Dados da OS'!$D$8=Parâmetros!$B$3,'Dados da OS'!$D$8=Parâmetros!$B$4),
      IF(OR(AND(B105="INM",N105&lt;&gt;"VF"),AND(N105="VF",B105&lt;&gt;"INM")),"",
        IF(AND(B105="INM",N105="VF"),IF(ISBLANK(H105),"",M105*H105),
        IF('Dados da OS'!$D$8=Parâmetros!$B$4,
           IF(OR(B105="CE",B105="EE"),4,IF(B105="SE",5,IF(B105="ALI",7,IF(B105="AIE",5,"")))),
        IF('Dados da OS'!$D$8=Parâmetros!$B$3,
           IF(OR(ISBLANK(D105),ISBLANK(F105)),"",
              IF(B105="ALI",IF(L105="L",7,IF(L105="A",10,15)),
                 IF(B105="AIE",IF(L105="L",5,IF(L105="A",7,10)),
                    IF(B105="SE",IF(L105="L",4,IF(L105="A",5,7)),
                       IF(OR(B105="EE",B105="CE"),IF(L105="L",3,IF(L105="A",4,6)),""))))))))),
   IF('Dados da OS'!$D$8=Parâmetros!$B$5,
      IF(OR(AND(B105="INM",N105&lt;&gt;"VF"),AND(N105="VF",B105&lt;&gt;"INM")),"",
         IF(B105="INM",IF(N105="VF",M105*H105,""),
            IF(B105="PE",4.6,
            IF(B105="AL",7,"")))),
   IF('Dados da OS'!$D$8=Parâmetros!$B$6,
      IF(B105="ALI",35,IF(B105="AIE",15,"")),""))
    )
)</f>
        <v/>
      </c>
      <c r="Q105" s="60" t="str">
        <f t="shared" si="13"/>
        <v/>
      </c>
      <c r="R105" s="61"/>
      <c r="S105" s="62"/>
      <c r="T105" s="80" t="s">
        <v>21</v>
      </c>
      <c r="U105" s="81"/>
      <c r="V105" s="99"/>
      <c r="W105" s="55"/>
      <c r="X105" s="55"/>
      <c r="Y105" s="56"/>
      <c r="Z105" s="55"/>
      <c r="AA105" s="56"/>
      <c r="AB105" s="55"/>
      <c r="AC105" s="57" t="str">
        <f t="shared" si="14"/>
        <v/>
      </c>
      <c r="AD105" s="57" t="str">
        <f t="shared" si="15"/>
        <v/>
      </c>
      <c r="AE105" s="57" t="str">
        <f xml:space="preserve">
IF(OR('Dados da OS'!$D$8=Parâmetros!$B$3,'Dados da OS'!$D$8=Parâmetros!$B$4),
  IF(OR(ISBLANK(X105),ISBLANK(Z105)),
     IF(OR(V105="ALI",V105="AIE"),"L",IF(ISBLANK(V105),"","A")),
     IF(V105="EE",IF(Z105&gt;=3,IF(X105&gt;=5,"H","A"),
     IF(Z105&gt;=2,IF(X105&gt;=16,"H",IF(X105&lt;=4,"L","A")),IF(X105&lt;=15,"L","A"))),
     IF(OR(V105="SE",V105="CE"),IF(Z105&gt;=4,IF(X105&gt;=6,"H","A"),IF(Z105&gt;=2,IF(X105&gt;=20,"H",IF(X105&lt;=5,"L","A")),IF(X105&lt;=19,"L","A"))),
     IF(OR(V105="ALI",V105="AIE"),IF(Z105&gt;=6,IF(X105&gt;=20,"H","A"),IF(Z105&gt;=2,IF(X105&gt;=51,"H",IF(X105&lt;=19,"L","A")),IF(X105&lt;=50,"L","A"))))))),
IF('Dados da OS'!$D$8=Parâmetros!$B$6,"Indicativa",
IF('Dados da OS'!$D$8=Parâmetros!$B$5,"PFS","")))</f>
        <v/>
      </c>
      <c r="AF105" s="57">
        <f>IFERROR(VLOOKUP(W105,'Fatores de Impacto e INMs'!$A$3:$D$32,3,0),1)</f>
        <v>1</v>
      </c>
      <c r="AG105" s="57">
        <f>IFERROR(VLOOKUP(W105,'Fatores de Impacto e INMs'!$A$3:$E$32,5,0),1)</f>
        <v>1</v>
      </c>
      <c r="AH105" s="82" t="str">
        <f xml:space="preserve">
IF(OR('Dados da OS'!$D$8="Selecione o tipo da contagem",ISBLANK('Dados da OS'!$D$8),V105="INM",V105="N/A",ISBLANK(V105),ISBLANK(W105),AG105="VF"),"-",
   IF('Dados da OS'!$D$8=Parâmetros!$B$3,
      IF(OR(ISBLANK(X105),ISBLANK(Z105)),"-",
         IF(AE105="L","Baixa",IF(AE105="A","Média",IF(AE105="H","Alta","-")))),
      IF('Dados da OS'!$D$8=Parâmetros!$B$4,
         IF(OR(V105="ALI",V105="AIE"),"Baixa",IF(OR(V105="EE",V105="SE",V105="CE"),"Média","-")),
         IF(OR('Dados da OS'!$D$8=Parâmetros!$B$5,'Dados da OS'!$D$8=Parâmetros!$B$6),"-"))))</f>
        <v>-</v>
      </c>
      <c r="AI105" s="83" t="str">
        <f xml:space="preserve">
IF(OR(ISBLANK(V105),ISBLANK(U105),ISBLANK(W105),V105="N/A",ISBLANK('Dados da OS'!$D$8)),"",
   IF(OR('Dados da OS'!$D$8=Parâmetros!$B$3,'Dados da OS'!$D$8=Parâmetros!$B$4),
      IF(OR(AND(V105="INM",AG105&lt;&gt;"VF"),AND(AG105="VF",V105&lt;&gt;"INM")),"",
        IF(AND(V105="INM",AG105="VF"),IF(ISBLANK(AB105),"",AF105*AB105),
        IF('Dados da OS'!$D$8=Parâmetros!$B$4,
           IF(OR(V105="CE",V105="EE"),4,IF(V105="SE",5,IF(V105="ALI",7,IF(V105="AIE",5,"")))),
        IF('Dados da OS'!$D$8=Parâmetros!$B$3,
           IF(OR(ISBLANK(X105),ISBLANK(Z105)),"",
              IF(V105="ALI",IF(AE105="L",7,IF(AE105="A",10,15)),
                 IF(V105="AIE",IF(AE105="L",5,IF(AE105="A",7,10)),
                    IF(V105="SE",IF(AE105="L",4,IF(AE105="A",5,7)),
                       IF(OR(V105="EE",V105="CE"),IF(AE105="L",3,IF(AE105="A",4,6)),""))))))))),
   IF('Dados da OS'!$D$8=Parâmetros!$B$5,
      IF(OR(AND(V105="INM",AG105&lt;&gt;"VF"),AND(AG105="VF",V105&lt;&gt;"INM")),"",
         IF(V105="INM",IF(AG105="VF",AF105*AB105,""),
            IF(V105="PE",4.6,
            IF(V105="AL",7,"")))),
   IF('Dados da OS'!$D$8=Parâmetros!$B$6,
      IF(V105="ALI",35,IF(V105="AIE",15,"")),""))
    )
)</f>
        <v/>
      </c>
      <c r="AJ105" s="82" t="str">
        <f t="shared" si="16"/>
        <v/>
      </c>
      <c r="AK105" s="84"/>
      <c r="AL105" s="85" t="s">
        <v>21</v>
      </c>
      <c r="AM105" s="86"/>
      <c r="AN105" s="85"/>
      <c r="AO105" s="87"/>
      <c r="AP105" s="85"/>
      <c r="AQ105" s="86"/>
      <c r="AR105" s="85"/>
    </row>
    <row r="106" spans="1:44" ht="15.75" customHeight="1">
      <c r="A106" s="54"/>
      <c r="B106" s="100"/>
      <c r="C106" s="55"/>
      <c r="D106" s="55"/>
      <c r="E106" s="56"/>
      <c r="F106" s="55"/>
      <c r="G106" s="56"/>
      <c r="H106" s="55"/>
      <c r="I106" s="64"/>
      <c r="J106" s="57" t="str">
        <f t="shared" si="11"/>
        <v/>
      </c>
      <c r="K106" s="57" t="str">
        <f t="shared" si="12"/>
        <v/>
      </c>
      <c r="L106" s="57" t="str">
        <f xml:space="preserve">
IF(OR('Dados da OS'!$D$8=Parâmetros!$B$3,'Dados da OS'!$D$8=Parâmetros!$B$4),
  IF(OR(ISBLANK(D106),ISBLANK(F106)),
     IF(OR(B106="ALI",B106="AIE"),"L",IF(ISBLANK(B106),"","A")),
     IF(B106="EE",IF(F106&gt;=3,IF(D106&gt;=5,"H","A"),
     IF(F106&gt;=2,IF(D106&gt;=16,"H",IF(D106&lt;=4,"L","A")),IF(D106&lt;=15,"L","A"))),
     IF(OR(B106="SE",B106="CE"),IF(F106&gt;=4,IF(D106&gt;=6,"H","A"),IF(F106&gt;=2,IF(D106&gt;=20,"H",IF(D106&lt;=5,"L","A")),IF(D106&lt;=19,"L","A"))),
     IF(OR(B106="ALI",B106="AIE"),IF(F106&gt;=6,IF(D106&gt;=20,"H","A"),IF(F106&gt;=2,IF(D106&gt;=51,"H",IF(D106&lt;=19,"L","A")),IF(D106&lt;=50,"L","A"))))))),
IF('Dados da OS'!$D$8=Parâmetros!$B$6,"Indicativa",
IF('Dados da OS'!$D$8=Parâmetros!$B$5,"PFS","")))</f>
        <v/>
      </c>
      <c r="M106" s="57">
        <f>IFERROR(VLOOKUP(C106,'Fatores de Impacto e INMs'!$A$3:$D$32,3,0),1)</f>
        <v>1</v>
      </c>
      <c r="N106" s="57">
        <f>IFERROR(VLOOKUP(C106,'Fatores de Impacto e INMs'!$A$3:$E$32,5,0),1)</f>
        <v>1</v>
      </c>
      <c r="O106" s="63" t="str">
        <f xml:space="preserve">
IF(OR('Dados da OS'!$D$8="Selecione o tipo da contagem",ISBLANK('Dados da OS'!$D$8),B106="INM",B106="N/A",ISBLANK(B106),ISBLANK(C106),N106="VF"),"-",
   IF('Dados da OS'!$D$8=Parâmetros!$B$3,
      IF(OR(ISBLANK(D106),ISBLANK(F106)),"-",
         IF(L106="L","Baixa",IF(L106="A","Média",IF(L106="H","Alta","-")))),
      IF('Dados da OS'!$D$8=Parâmetros!$B$4,
         IF(OR(B106="ALI",B106="AIE"),"Baixa",IF(OR(B106="EE",B106="SE",B106="CE"),"Média","-")),
         IF(OR('Dados da OS'!$D$8=Parâmetros!$B$5,'Dados da OS'!$D$8=Parâmetros!$B$6),"-"))))</f>
        <v>-</v>
      </c>
      <c r="P106" s="59" t="str">
        <f xml:space="preserve">
IF(OR(ISBLANK(B106),ISBLANK(C106),B106="N/A",ISBLANK('Dados da OS'!$D$8)),"",
   IF(OR('Dados da OS'!$D$8=Parâmetros!$B$3,'Dados da OS'!$D$8=Parâmetros!$B$4),
      IF(OR(AND(B106="INM",N106&lt;&gt;"VF"),AND(N106="VF",B106&lt;&gt;"INM")),"",
        IF(AND(B106="INM",N106="VF"),IF(ISBLANK(H106),"",M106*H106),
        IF('Dados da OS'!$D$8=Parâmetros!$B$4,
           IF(OR(B106="CE",B106="EE"),4,IF(B106="SE",5,IF(B106="ALI",7,IF(B106="AIE",5,"")))),
        IF('Dados da OS'!$D$8=Parâmetros!$B$3,
           IF(OR(ISBLANK(D106),ISBLANK(F106)),"",
              IF(B106="ALI",IF(L106="L",7,IF(L106="A",10,15)),
                 IF(B106="AIE",IF(L106="L",5,IF(L106="A",7,10)),
                    IF(B106="SE",IF(L106="L",4,IF(L106="A",5,7)),
                       IF(OR(B106="EE",B106="CE"),IF(L106="L",3,IF(L106="A",4,6)),""))))))))),
   IF('Dados da OS'!$D$8=Parâmetros!$B$5,
      IF(OR(AND(B106="INM",N106&lt;&gt;"VF"),AND(N106="VF",B106&lt;&gt;"INM")),"",
         IF(B106="INM",IF(N106="VF",M106*H106,""),
            IF(B106="PE",4.6,
            IF(B106="AL",7,"")))),
   IF('Dados da OS'!$D$8=Parâmetros!$B$6,
      IF(B106="ALI",35,IF(B106="AIE",15,"")),""))
    )
)</f>
        <v/>
      </c>
      <c r="Q106" s="60" t="str">
        <f t="shared" si="13"/>
        <v/>
      </c>
      <c r="R106" s="61"/>
      <c r="S106" s="62"/>
      <c r="T106" s="80" t="s">
        <v>21</v>
      </c>
      <c r="U106" s="81"/>
      <c r="V106" s="99"/>
      <c r="W106" s="55"/>
      <c r="X106" s="55"/>
      <c r="Y106" s="56"/>
      <c r="Z106" s="55"/>
      <c r="AA106" s="56"/>
      <c r="AB106" s="55"/>
      <c r="AC106" s="57" t="str">
        <f t="shared" si="14"/>
        <v/>
      </c>
      <c r="AD106" s="57" t="str">
        <f t="shared" si="15"/>
        <v/>
      </c>
      <c r="AE106" s="57" t="str">
        <f xml:space="preserve">
IF(OR('Dados da OS'!$D$8=Parâmetros!$B$3,'Dados da OS'!$D$8=Parâmetros!$B$4),
  IF(OR(ISBLANK(X106),ISBLANK(Z106)),
     IF(OR(V106="ALI",V106="AIE"),"L",IF(ISBLANK(V106),"","A")),
     IF(V106="EE",IF(Z106&gt;=3,IF(X106&gt;=5,"H","A"),
     IF(Z106&gt;=2,IF(X106&gt;=16,"H",IF(X106&lt;=4,"L","A")),IF(X106&lt;=15,"L","A"))),
     IF(OR(V106="SE",V106="CE"),IF(Z106&gt;=4,IF(X106&gt;=6,"H","A"),IF(Z106&gt;=2,IF(X106&gt;=20,"H",IF(X106&lt;=5,"L","A")),IF(X106&lt;=19,"L","A"))),
     IF(OR(V106="ALI",V106="AIE"),IF(Z106&gt;=6,IF(X106&gt;=20,"H","A"),IF(Z106&gt;=2,IF(X106&gt;=51,"H",IF(X106&lt;=19,"L","A")),IF(X106&lt;=50,"L","A"))))))),
IF('Dados da OS'!$D$8=Parâmetros!$B$6,"Indicativa",
IF('Dados da OS'!$D$8=Parâmetros!$B$5,"PFS","")))</f>
        <v/>
      </c>
      <c r="AF106" s="57">
        <f>IFERROR(VLOOKUP(W106,'Fatores de Impacto e INMs'!$A$3:$D$32,3,0),1)</f>
        <v>1</v>
      </c>
      <c r="AG106" s="57">
        <f>IFERROR(VLOOKUP(W106,'Fatores de Impacto e INMs'!$A$3:$E$32,5,0),1)</f>
        <v>1</v>
      </c>
      <c r="AH106" s="82" t="str">
        <f xml:space="preserve">
IF(OR('Dados da OS'!$D$8="Selecione o tipo da contagem",ISBLANK('Dados da OS'!$D$8),V106="INM",V106="N/A",ISBLANK(V106),ISBLANK(W106),AG106="VF"),"-",
   IF('Dados da OS'!$D$8=Parâmetros!$B$3,
      IF(OR(ISBLANK(X106),ISBLANK(Z106)),"-",
         IF(AE106="L","Baixa",IF(AE106="A","Média",IF(AE106="H","Alta","-")))),
      IF('Dados da OS'!$D$8=Parâmetros!$B$4,
         IF(OR(V106="ALI",V106="AIE"),"Baixa",IF(OR(V106="EE",V106="SE",V106="CE"),"Média","-")),
         IF(OR('Dados da OS'!$D$8=Parâmetros!$B$5,'Dados da OS'!$D$8=Parâmetros!$B$6),"-"))))</f>
        <v>-</v>
      </c>
      <c r="AI106" s="83" t="str">
        <f xml:space="preserve">
IF(OR(ISBLANK(V106),ISBLANK(U106),ISBLANK(W106),V106="N/A",ISBLANK('Dados da OS'!$D$8)),"",
   IF(OR('Dados da OS'!$D$8=Parâmetros!$B$3,'Dados da OS'!$D$8=Parâmetros!$B$4),
      IF(OR(AND(V106="INM",AG106&lt;&gt;"VF"),AND(AG106="VF",V106&lt;&gt;"INM")),"",
        IF(AND(V106="INM",AG106="VF"),IF(ISBLANK(AB106),"",AF106*AB106),
        IF('Dados da OS'!$D$8=Parâmetros!$B$4,
           IF(OR(V106="CE",V106="EE"),4,IF(V106="SE",5,IF(V106="ALI",7,IF(V106="AIE",5,"")))),
        IF('Dados da OS'!$D$8=Parâmetros!$B$3,
           IF(OR(ISBLANK(X106),ISBLANK(Z106)),"",
              IF(V106="ALI",IF(AE106="L",7,IF(AE106="A",10,15)),
                 IF(V106="AIE",IF(AE106="L",5,IF(AE106="A",7,10)),
                    IF(V106="SE",IF(AE106="L",4,IF(AE106="A",5,7)),
                       IF(OR(V106="EE",V106="CE"),IF(AE106="L",3,IF(AE106="A",4,6)),""))))))))),
   IF('Dados da OS'!$D$8=Parâmetros!$B$5,
      IF(OR(AND(V106="INM",AG106&lt;&gt;"VF"),AND(AG106="VF",V106&lt;&gt;"INM")),"",
         IF(V106="INM",IF(AG106="VF",AF106*AB106,""),
            IF(V106="PE",4.6,
            IF(V106="AL",7,"")))),
   IF('Dados da OS'!$D$8=Parâmetros!$B$6,
      IF(V106="ALI",35,IF(V106="AIE",15,"")),""))
    )
)</f>
        <v/>
      </c>
      <c r="AJ106" s="82" t="str">
        <f t="shared" si="16"/>
        <v/>
      </c>
      <c r="AK106" s="84"/>
      <c r="AL106" s="85" t="s">
        <v>21</v>
      </c>
      <c r="AM106" s="86"/>
      <c r="AN106" s="85"/>
      <c r="AO106" s="87"/>
      <c r="AP106" s="85"/>
      <c r="AQ106" s="86"/>
      <c r="AR106" s="85"/>
    </row>
    <row r="107" spans="1:44" ht="15.75" customHeight="1">
      <c r="A107" s="54"/>
      <c r="B107" s="100"/>
      <c r="C107" s="55"/>
      <c r="D107" s="55"/>
      <c r="E107" s="56"/>
      <c r="F107" s="55"/>
      <c r="G107" s="56"/>
      <c r="H107" s="55"/>
      <c r="I107" s="64"/>
      <c r="J107" s="57" t="str">
        <f t="shared" si="11"/>
        <v/>
      </c>
      <c r="K107" s="57" t="str">
        <f t="shared" si="12"/>
        <v/>
      </c>
      <c r="L107" s="57" t="str">
        <f xml:space="preserve">
IF(OR('Dados da OS'!$D$8=Parâmetros!$B$3,'Dados da OS'!$D$8=Parâmetros!$B$4),
  IF(OR(ISBLANK(D107),ISBLANK(F107)),
     IF(OR(B107="ALI",B107="AIE"),"L",IF(ISBLANK(B107),"","A")),
     IF(B107="EE",IF(F107&gt;=3,IF(D107&gt;=5,"H","A"),
     IF(F107&gt;=2,IF(D107&gt;=16,"H",IF(D107&lt;=4,"L","A")),IF(D107&lt;=15,"L","A"))),
     IF(OR(B107="SE",B107="CE"),IF(F107&gt;=4,IF(D107&gt;=6,"H","A"),IF(F107&gt;=2,IF(D107&gt;=20,"H",IF(D107&lt;=5,"L","A")),IF(D107&lt;=19,"L","A"))),
     IF(OR(B107="ALI",B107="AIE"),IF(F107&gt;=6,IF(D107&gt;=20,"H","A"),IF(F107&gt;=2,IF(D107&gt;=51,"H",IF(D107&lt;=19,"L","A")),IF(D107&lt;=50,"L","A"))))))),
IF('Dados da OS'!$D$8=Parâmetros!$B$6,"Indicativa",
IF('Dados da OS'!$D$8=Parâmetros!$B$5,"PFS","")))</f>
        <v/>
      </c>
      <c r="M107" s="57">
        <f>IFERROR(VLOOKUP(C107,'Fatores de Impacto e INMs'!$A$3:$D$32,3,0),1)</f>
        <v>1</v>
      </c>
      <c r="N107" s="57">
        <f>IFERROR(VLOOKUP(C107,'Fatores de Impacto e INMs'!$A$3:$E$32,5,0),1)</f>
        <v>1</v>
      </c>
      <c r="O107" s="63" t="str">
        <f xml:space="preserve">
IF(OR('Dados da OS'!$D$8="Selecione o tipo da contagem",ISBLANK('Dados da OS'!$D$8),B107="INM",B107="N/A",ISBLANK(B107),ISBLANK(C107),N107="VF"),"-",
   IF('Dados da OS'!$D$8=Parâmetros!$B$3,
      IF(OR(ISBLANK(D107),ISBLANK(F107)),"-",
         IF(L107="L","Baixa",IF(L107="A","Média",IF(L107="H","Alta","-")))),
      IF('Dados da OS'!$D$8=Parâmetros!$B$4,
         IF(OR(B107="ALI",B107="AIE"),"Baixa",IF(OR(B107="EE",B107="SE",B107="CE"),"Média","-")),
         IF(OR('Dados da OS'!$D$8=Parâmetros!$B$5,'Dados da OS'!$D$8=Parâmetros!$B$6),"-"))))</f>
        <v>-</v>
      </c>
      <c r="P107" s="59" t="str">
        <f xml:space="preserve">
IF(OR(ISBLANK(B107),ISBLANK(C107),B107="N/A",ISBLANK('Dados da OS'!$D$8)),"",
   IF(OR('Dados da OS'!$D$8=Parâmetros!$B$3,'Dados da OS'!$D$8=Parâmetros!$B$4),
      IF(OR(AND(B107="INM",N107&lt;&gt;"VF"),AND(N107="VF",B107&lt;&gt;"INM")),"",
        IF(AND(B107="INM",N107="VF"),IF(ISBLANK(H107),"",M107*H107),
        IF('Dados da OS'!$D$8=Parâmetros!$B$4,
           IF(OR(B107="CE",B107="EE"),4,IF(B107="SE",5,IF(B107="ALI",7,IF(B107="AIE",5,"")))),
        IF('Dados da OS'!$D$8=Parâmetros!$B$3,
           IF(OR(ISBLANK(D107),ISBLANK(F107)),"",
              IF(B107="ALI",IF(L107="L",7,IF(L107="A",10,15)),
                 IF(B107="AIE",IF(L107="L",5,IF(L107="A",7,10)),
                    IF(B107="SE",IF(L107="L",4,IF(L107="A",5,7)),
                       IF(OR(B107="EE",B107="CE"),IF(L107="L",3,IF(L107="A",4,6)),""))))))))),
   IF('Dados da OS'!$D$8=Parâmetros!$B$5,
      IF(OR(AND(B107="INM",N107&lt;&gt;"VF"),AND(N107="VF",B107&lt;&gt;"INM")),"",
         IF(B107="INM",IF(N107="VF",M107*H107,""),
            IF(B107="PE",4.6,
            IF(B107="AL",7,"")))),
   IF('Dados da OS'!$D$8=Parâmetros!$B$6,
      IF(B107="ALI",35,IF(B107="AIE",15,"")),""))
    )
)</f>
        <v/>
      </c>
      <c r="Q107" s="60" t="str">
        <f t="shared" si="13"/>
        <v/>
      </c>
      <c r="R107" s="61"/>
      <c r="S107" s="62"/>
      <c r="T107" s="80" t="s">
        <v>21</v>
      </c>
      <c r="U107" s="81"/>
      <c r="V107" s="99"/>
      <c r="W107" s="55"/>
      <c r="X107" s="55"/>
      <c r="Y107" s="56"/>
      <c r="Z107" s="55"/>
      <c r="AA107" s="56"/>
      <c r="AB107" s="55"/>
      <c r="AC107" s="57" t="str">
        <f t="shared" si="14"/>
        <v/>
      </c>
      <c r="AD107" s="57" t="str">
        <f t="shared" si="15"/>
        <v/>
      </c>
      <c r="AE107" s="57" t="str">
        <f xml:space="preserve">
IF(OR('Dados da OS'!$D$8=Parâmetros!$B$3,'Dados da OS'!$D$8=Parâmetros!$B$4),
  IF(OR(ISBLANK(X107),ISBLANK(Z107)),
     IF(OR(V107="ALI",V107="AIE"),"L",IF(ISBLANK(V107),"","A")),
     IF(V107="EE",IF(Z107&gt;=3,IF(X107&gt;=5,"H","A"),
     IF(Z107&gt;=2,IF(X107&gt;=16,"H",IF(X107&lt;=4,"L","A")),IF(X107&lt;=15,"L","A"))),
     IF(OR(V107="SE",V107="CE"),IF(Z107&gt;=4,IF(X107&gt;=6,"H","A"),IF(Z107&gt;=2,IF(X107&gt;=20,"H",IF(X107&lt;=5,"L","A")),IF(X107&lt;=19,"L","A"))),
     IF(OR(V107="ALI",V107="AIE"),IF(Z107&gt;=6,IF(X107&gt;=20,"H","A"),IF(Z107&gt;=2,IF(X107&gt;=51,"H",IF(X107&lt;=19,"L","A")),IF(X107&lt;=50,"L","A"))))))),
IF('Dados da OS'!$D$8=Parâmetros!$B$6,"Indicativa",
IF('Dados da OS'!$D$8=Parâmetros!$B$5,"PFS","")))</f>
        <v/>
      </c>
      <c r="AF107" s="57">
        <f>IFERROR(VLOOKUP(W107,'Fatores de Impacto e INMs'!$A$3:$D$32,3,0),1)</f>
        <v>1</v>
      </c>
      <c r="AG107" s="57">
        <f>IFERROR(VLOOKUP(W107,'Fatores de Impacto e INMs'!$A$3:$E$32,5,0),1)</f>
        <v>1</v>
      </c>
      <c r="AH107" s="82" t="str">
        <f xml:space="preserve">
IF(OR('Dados da OS'!$D$8="Selecione o tipo da contagem",ISBLANK('Dados da OS'!$D$8),V107="INM",V107="N/A",ISBLANK(V107),ISBLANK(W107),AG107="VF"),"-",
   IF('Dados da OS'!$D$8=Parâmetros!$B$3,
      IF(OR(ISBLANK(X107),ISBLANK(Z107)),"-",
         IF(AE107="L","Baixa",IF(AE107="A","Média",IF(AE107="H","Alta","-")))),
      IF('Dados da OS'!$D$8=Parâmetros!$B$4,
         IF(OR(V107="ALI",V107="AIE"),"Baixa",IF(OR(V107="EE",V107="SE",V107="CE"),"Média","-")),
         IF(OR('Dados da OS'!$D$8=Parâmetros!$B$5,'Dados da OS'!$D$8=Parâmetros!$B$6),"-"))))</f>
        <v>-</v>
      </c>
      <c r="AI107" s="83" t="str">
        <f xml:space="preserve">
IF(OR(ISBLANK(V107),ISBLANK(U107),ISBLANK(W107),V107="N/A",ISBLANK('Dados da OS'!$D$8)),"",
   IF(OR('Dados da OS'!$D$8=Parâmetros!$B$3,'Dados da OS'!$D$8=Parâmetros!$B$4),
      IF(OR(AND(V107="INM",AG107&lt;&gt;"VF"),AND(AG107="VF",V107&lt;&gt;"INM")),"",
        IF(AND(V107="INM",AG107="VF"),IF(ISBLANK(AB107),"",AF107*AB107),
        IF('Dados da OS'!$D$8=Parâmetros!$B$4,
           IF(OR(V107="CE",V107="EE"),4,IF(V107="SE",5,IF(V107="ALI",7,IF(V107="AIE",5,"")))),
        IF('Dados da OS'!$D$8=Parâmetros!$B$3,
           IF(OR(ISBLANK(X107),ISBLANK(Z107)),"",
              IF(V107="ALI",IF(AE107="L",7,IF(AE107="A",10,15)),
                 IF(V107="AIE",IF(AE107="L",5,IF(AE107="A",7,10)),
                    IF(V107="SE",IF(AE107="L",4,IF(AE107="A",5,7)),
                       IF(OR(V107="EE",V107="CE"),IF(AE107="L",3,IF(AE107="A",4,6)),""))))))))),
   IF('Dados da OS'!$D$8=Parâmetros!$B$5,
      IF(OR(AND(V107="INM",AG107&lt;&gt;"VF"),AND(AG107="VF",V107&lt;&gt;"INM")),"",
         IF(V107="INM",IF(AG107="VF",AF107*AB107,""),
            IF(V107="PE",4.6,
            IF(V107="AL",7,"")))),
   IF('Dados da OS'!$D$8=Parâmetros!$B$6,
      IF(V107="ALI",35,IF(V107="AIE",15,"")),""))
    )
)</f>
        <v/>
      </c>
      <c r="AJ107" s="82" t="str">
        <f t="shared" si="16"/>
        <v/>
      </c>
      <c r="AK107" s="84"/>
      <c r="AL107" s="85" t="s">
        <v>21</v>
      </c>
      <c r="AM107" s="86"/>
      <c r="AN107" s="85"/>
      <c r="AO107" s="87"/>
      <c r="AP107" s="85"/>
      <c r="AQ107" s="86"/>
      <c r="AR107" s="85"/>
    </row>
    <row r="108" spans="1:44" ht="15.75" customHeight="1">
      <c r="A108" s="54"/>
      <c r="B108" s="100"/>
      <c r="C108" s="55"/>
      <c r="D108" s="55"/>
      <c r="E108" s="56"/>
      <c r="F108" s="55"/>
      <c r="G108" s="56"/>
      <c r="H108" s="55"/>
      <c r="I108" s="64"/>
      <c r="J108" s="57" t="str">
        <f t="shared" si="11"/>
        <v/>
      </c>
      <c r="K108" s="57" t="str">
        <f t="shared" si="12"/>
        <v/>
      </c>
      <c r="L108" s="57" t="str">
        <f xml:space="preserve">
IF(OR('Dados da OS'!$D$8=Parâmetros!$B$3,'Dados da OS'!$D$8=Parâmetros!$B$4),
  IF(OR(ISBLANK(D108),ISBLANK(F108)),
     IF(OR(B108="ALI",B108="AIE"),"L",IF(ISBLANK(B108),"","A")),
     IF(B108="EE",IF(F108&gt;=3,IF(D108&gt;=5,"H","A"),
     IF(F108&gt;=2,IF(D108&gt;=16,"H",IF(D108&lt;=4,"L","A")),IF(D108&lt;=15,"L","A"))),
     IF(OR(B108="SE",B108="CE"),IF(F108&gt;=4,IF(D108&gt;=6,"H","A"),IF(F108&gt;=2,IF(D108&gt;=20,"H",IF(D108&lt;=5,"L","A")),IF(D108&lt;=19,"L","A"))),
     IF(OR(B108="ALI",B108="AIE"),IF(F108&gt;=6,IF(D108&gt;=20,"H","A"),IF(F108&gt;=2,IF(D108&gt;=51,"H",IF(D108&lt;=19,"L","A")),IF(D108&lt;=50,"L","A"))))))),
IF('Dados da OS'!$D$8=Parâmetros!$B$6,"Indicativa",
IF('Dados da OS'!$D$8=Parâmetros!$B$5,"PFS","")))</f>
        <v/>
      </c>
      <c r="M108" s="57">
        <f>IFERROR(VLOOKUP(C108,'Fatores de Impacto e INMs'!$A$3:$D$32,3,0),1)</f>
        <v>1</v>
      </c>
      <c r="N108" s="57">
        <f>IFERROR(VLOOKUP(C108,'Fatores de Impacto e INMs'!$A$3:$E$32,5,0),1)</f>
        <v>1</v>
      </c>
      <c r="O108" s="63" t="str">
        <f xml:space="preserve">
IF(OR('Dados da OS'!$D$8="Selecione o tipo da contagem",ISBLANK('Dados da OS'!$D$8),B108="INM",B108="N/A",ISBLANK(B108),ISBLANK(C108),N108="VF"),"-",
   IF('Dados da OS'!$D$8=Parâmetros!$B$3,
      IF(OR(ISBLANK(D108),ISBLANK(F108)),"-",
         IF(L108="L","Baixa",IF(L108="A","Média",IF(L108="H","Alta","-")))),
      IF('Dados da OS'!$D$8=Parâmetros!$B$4,
         IF(OR(B108="ALI",B108="AIE"),"Baixa",IF(OR(B108="EE",B108="SE",B108="CE"),"Média","-")),
         IF(OR('Dados da OS'!$D$8=Parâmetros!$B$5,'Dados da OS'!$D$8=Parâmetros!$B$6),"-"))))</f>
        <v>-</v>
      </c>
      <c r="P108" s="59" t="str">
        <f xml:space="preserve">
IF(OR(ISBLANK(B108),ISBLANK(C108),B108="N/A",ISBLANK('Dados da OS'!$D$8)),"",
   IF(OR('Dados da OS'!$D$8=Parâmetros!$B$3,'Dados da OS'!$D$8=Parâmetros!$B$4),
      IF(OR(AND(B108="INM",N108&lt;&gt;"VF"),AND(N108="VF",B108&lt;&gt;"INM")),"",
        IF(AND(B108="INM",N108="VF"),IF(ISBLANK(H108),"",M108*H108),
        IF('Dados da OS'!$D$8=Parâmetros!$B$4,
           IF(OR(B108="CE",B108="EE"),4,IF(B108="SE",5,IF(B108="ALI",7,IF(B108="AIE",5,"")))),
        IF('Dados da OS'!$D$8=Parâmetros!$B$3,
           IF(OR(ISBLANK(D108),ISBLANK(F108)),"",
              IF(B108="ALI",IF(L108="L",7,IF(L108="A",10,15)),
                 IF(B108="AIE",IF(L108="L",5,IF(L108="A",7,10)),
                    IF(B108="SE",IF(L108="L",4,IF(L108="A",5,7)),
                       IF(OR(B108="EE",B108="CE"),IF(L108="L",3,IF(L108="A",4,6)),""))))))))),
   IF('Dados da OS'!$D$8=Parâmetros!$B$5,
      IF(OR(AND(B108="INM",N108&lt;&gt;"VF"),AND(N108="VF",B108&lt;&gt;"INM")),"",
         IF(B108="INM",IF(N108="VF",M108*H108,""),
            IF(B108="PE",4.6,
            IF(B108="AL",7,"")))),
   IF('Dados da OS'!$D$8=Parâmetros!$B$6,
      IF(B108="ALI",35,IF(B108="AIE",15,"")),""))
    )
)</f>
        <v/>
      </c>
      <c r="Q108" s="60" t="str">
        <f t="shared" si="13"/>
        <v/>
      </c>
      <c r="R108" s="61"/>
      <c r="S108" s="62"/>
      <c r="T108" s="80" t="s">
        <v>21</v>
      </c>
      <c r="U108" s="81"/>
      <c r="V108" s="99"/>
      <c r="W108" s="55"/>
      <c r="X108" s="55"/>
      <c r="Y108" s="56"/>
      <c r="Z108" s="55"/>
      <c r="AA108" s="56"/>
      <c r="AB108" s="55"/>
      <c r="AC108" s="57" t="str">
        <f t="shared" si="14"/>
        <v/>
      </c>
      <c r="AD108" s="57" t="str">
        <f t="shared" si="15"/>
        <v/>
      </c>
      <c r="AE108" s="57" t="str">
        <f xml:space="preserve">
IF(OR('Dados da OS'!$D$8=Parâmetros!$B$3,'Dados da OS'!$D$8=Parâmetros!$B$4),
  IF(OR(ISBLANK(X108),ISBLANK(Z108)),
     IF(OR(V108="ALI",V108="AIE"),"L",IF(ISBLANK(V108),"","A")),
     IF(V108="EE",IF(Z108&gt;=3,IF(X108&gt;=5,"H","A"),
     IF(Z108&gt;=2,IF(X108&gt;=16,"H",IF(X108&lt;=4,"L","A")),IF(X108&lt;=15,"L","A"))),
     IF(OR(V108="SE",V108="CE"),IF(Z108&gt;=4,IF(X108&gt;=6,"H","A"),IF(Z108&gt;=2,IF(X108&gt;=20,"H",IF(X108&lt;=5,"L","A")),IF(X108&lt;=19,"L","A"))),
     IF(OR(V108="ALI",V108="AIE"),IF(Z108&gt;=6,IF(X108&gt;=20,"H","A"),IF(Z108&gt;=2,IF(X108&gt;=51,"H",IF(X108&lt;=19,"L","A")),IF(X108&lt;=50,"L","A"))))))),
IF('Dados da OS'!$D$8=Parâmetros!$B$6,"Indicativa",
IF('Dados da OS'!$D$8=Parâmetros!$B$5,"PFS","")))</f>
        <v/>
      </c>
      <c r="AF108" s="57">
        <f>IFERROR(VLOOKUP(W108,'Fatores de Impacto e INMs'!$A$3:$D$32,3,0),1)</f>
        <v>1</v>
      </c>
      <c r="AG108" s="57">
        <f>IFERROR(VLOOKUP(W108,'Fatores de Impacto e INMs'!$A$3:$E$32,5,0),1)</f>
        <v>1</v>
      </c>
      <c r="AH108" s="82" t="str">
        <f xml:space="preserve">
IF(OR('Dados da OS'!$D$8="Selecione o tipo da contagem",ISBLANK('Dados da OS'!$D$8),V108="INM",V108="N/A",ISBLANK(V108),ISBLANK(W108),AG108="VF"),"-",
   IF('Dados da OS'!$D$8=Parâmetros!$B$3,
      IF(OR(ISBLANK(X108),ISBLANK(Z108)),"-",
         IF(AE108="L","Baixa",IF(AE108="A","Média",IF(AE108="H","Alta","-")))),
      IF('Dados da OS'!$D$8=Parâmetros!$B$4,
         IF(OR(V108="ALI",V108="AIE"),"Baixa",IF(OR(V108="EE",V108="SE",V108="CE"),"Média","-")),
         IF(OR('Dados da OS'!$D$8=Parâmetros!$B$5,'Dados da OS'!$D$8=Parâmetros!$B$6),"-"))))</f>
        <v>-</v>
      </c>
      <c r="AI108" s="83" t="str">
        <f xml:space="preserve">
IF(OR(ISBLANK(V108),ISBLANK(U108),ISBLANK(W108),V108="N/A",ISBLANK('Dados da OS'!$D$8)),"",
   IF(OR('Dados da OS'!$D$8=Parâmetros!$B$3,'Dados da OS'!$D$8=Parâmetros!$B$4),
      IF(OR(AND(V108="INM",AG108&lt;&gt;"VF"),AND(AG108="VF",V108&lt;&gt;"INM")),"",
        IF(AND(V108="INM",AG108="VF"),IF(ISBLANK(AB108),"",AF108*AB108),
        IF('Dados da OS'!$D$8=Parâmetros!$B$4,
           IF(OR(V108="CE",V108="EE"),4,IF(V108="SE",5,IF(V108="ALI",7,IF(V108="AIE",5,"")))),
        IF('Dados da OS'!$D$8=Parâmetros!$B$3,
           IF(OR(ISBLANK(X108),ISBLANK(Z108)),"",
              IF(V108="ALI",IF(AE108="L",7,IF(AE108="A",10,15)),
                 IF(V108="AIE",IF(AE108="L",5,IF(AE108="A",7,10)),
                    IF(V108="SE",IF(AE108="L",4,IF(AE108="A",5,7)),
                       IF(OR(V108="EE",V108="CE"),IF(AE108="L",3,IF(AE108="A",4,6)),""))))))))),
   IF('Dados da OS'!$D$8=Parâmetros!$B$5,
      IF(OR(AND(V108="INM",AG108&lt;&gt;"VF"),AND(AG108="VF",V108&lt;&gt;"INM")),"",
         IF(V108="INM",IF(AG108="VF",AF108*AB108,""),
            IF(V108="PE",4.6,
            IF(V108="AL",7,"")))),
   IF('Dados da OS'!$D$8=Parâmetros!$B$6,
      IF(V108="ALI",35,IF(V108="AIE",15,"")),""))
    )
)</f>
        <v/>
      </c>
      <c r="AJ108" s="82" t="str">
        <f t="shared" si="16"/>
        <v/>
      </c>
      <c r="AK108" s="84"/>
      <c r="AL108" s="85" t="s">
        <v>21</v>
      </c>
      <c r="AM108" s="86"/>
      <c r="AN108" s="85"/>
      <c r="AO108" s="87"/>
      <c r="AP108" s="85"/>
      <c r="AQ108" s="86"/>
      <c r="AR108" s="85"/>
    </row>
    <row r="109" spans="1:44" ht="15.75" customHeight="1">
      <c r="A109" s="54"/>
      <c r="B109" s="100"/>
      <c r="C109" s="55"/>
      <c r="D109" s="55"/>
      <c r="E109" s="56"/>
      <c r="F109" s="55"/>
      <c r="G109" s="56"/>
      <c r="H109" s="55"/>
      <c r="I109" s="64"/>
      <c r="J109" s="57" t="str">
        <f t="shared" si="11"/>
        <v/>
      </c>
      <c r="K109" s="57" t="str">
        <f t="shared" si="12"/>
        <v/>
      </c>
      <c r="L109" s="57" t="str">
        <f xml:space="preserve">
IF(OR('Dados da OS'!$D$8=Parâmetros!$B$3,'Dados da OS'!$D$8=Parâmetros!$B$4),
  IF(OR(ISBLANK(D109),ISBLANK(F109)),
     IF(OR(B109="ALI",B109="AIE"),"L",IF(ISBLANK(B109),"","A")),
     IF(B109="EE",IF(F109&gt;=3,IF(D109&gt;=5,"H","A"),
     IF(F109&gt;=2,IF(D109&gt;=16,"H",IF(D109&lt;=4,"L","A")),IF(D109&lt;=15,"L","A"))),
     IF(OR(B109="SE",B109="CE"),IF(F109&gt;=4,IF(D109&gt;=6,"H","A"),IF(F109&gt;=2,IF(D109&gt;=20,"H",IF(D109&lt;=5,"L","A")),IF(D109&lt;=19,"L","A"))),
     IF(OR(B109="ALI",B109="AIE"),IF(F109&gt;=6,IF(D109&gt;=20,"H","A"),IF(F109&gt;=2,IF(D109&gt;=51,"H",IF(D109&lt;=19,"L","A")),IF(D109&lt;=50,"L","A"))))))),
IF('Dados da OS'!$D$8=Parâmetros!$B$6,"Indicativa",
IF('Dados da OS'!$D$8=Parâmetros!$B$5,"PFS","")))</f>
        <v/>
      </c>
      <c r="M109" s="57">
        <f>IFERROR(VLOOKUP(C109,'Fatores de Impacto e INMs'!$A$3:$D$32,3,0),1)</f>
        <v>1</v>
      </c>
      <c r="N109" s="57">
        <f>IFERROR(VLOOKUP(C109,'Fatores de Impacto e INMs'!$A$3:$E$32,5,0),1)</f>
        <v>1</v>
      </c>
      <c r="O109" s="63" t="str">
        <f xml:space="preserve">
IF(OR('Dados da OS'!$D$8="Selecione o tipo da contagem",ISBLANK('Dados da OS'!$D$8),B109="INM",B109="N/A",ISBLANK(B109),ISBLANK(C109),N109="VF"),"-",
   IF('Dados da OS'!$D$8=Parâmetros!$B$3,
      IF(OR(ISBLANK(D109),ISBLANK(F109)),"-",
         IF(L109="L","Baixa",IF(L109="A","Média",IF(L109="H","Alta","-")))),
      IF('Dados da OS'!$D$8=Parâmetros!$B$4,
         IF(OR(B109="ALI",B109="AIE"),"Baixa",IF(OR(B109="EE",B109="SE",B109="CE"),"Média","-")),
         IF(OR('Dados da OS'!$D$8=Parâmetros!$B$5,'Dados da OS'!$D$8=Parâmetros!$B$6),"-"))))</f>
        <v>-</v>
      </c>
      <c r="P109" s="59" t="str">
        <f xml:space="preserve">
IF(OR(ISBLANK(B109),ISBLANK(C109),B109="N/A",ISBLANK('Dados da OS'!$D$8)),"",
   IF(OR('Dados da OS'!$D$8=Parâmetros!$B$3,'Dados da OS'!$D$8=Parâmetros!$B$4),
      IF(OR(AND(B109="INM",N109&lt;&gt;"VF"),AND(N109="VF",B109&lt;&gt;"INM")),"",
        IF(AND(B109="INM",N109="VF"),IF(ISBLANK(H109),"",M109*H109),
        IF('Dados da OS'!$D$8=Parâmetros!$B$4,
           IF(OR(B109="CE",B109="EE"),4,IF(B109="SE",5,IF(B109="ALI",7,IF(B109="AIE",5,"")))),
        IF('Dados da OS'!$D$8=Parâmetros!$B$3,
           IF(OR(ISBLANK(D109),ISBLANK(F109)),"",
              IF(B109="ALI",IF(L109="L",7,IF(L109="A",10,15)),
                 IF(B109="AIE",IF(L109="L",5,IF(L109="A",7,10)),
                    IF(B109="SE",IF(L109="L",4,IF(L109="A",5,7)),
                       IF(OR(B109="EE",B109="CE"),IF(L109="L",3,IF(L109="A",4,6)),""))))))))),
   IF('Dados da OS'!$D$8=Parâmetros!$B$5,
      IF(OR(AND(B109="INM",N109&lt;&gt;"VF"),AND(N109="VF",B109&lt;&gt;"INM")),"",
         IF(B109="INM",IF(N109="VF",M109*H109,""),
            IF(B109="PE",4.6,
            IF(B109="AL",7,"")))),
   IF('Dados da OS'!$D$8=Parâmetros!$B$6,
      IF(B109="ALI",35,IF(B109="AIE",15,"")),""))
    )
)</f>
        <v/>
      </c>
      <c r="Q109" s="60" t="str">
        <f t="shared" si="13"/>
        <v/>
      </c>
      <c r="R109" s="61"/>
      <c r="S109" s="62"/>
      <c r="T109" s="80" t="s">
        <v>21</v>
      </c>
      <c r="U109" s="81"/>
      <c r="V109" s="99"/>
      <c r="W109" s="55"/>
      <c r="X109" s="55"/>
      <c r="Y109" s="56"/>
      <c r="Z109" s="55"/>
      <c r="AA109" s="56"/>
      <c r="AB109" s="55"/>
      <c r="AC109" s="57" t="str">
        <f t="shared" si="14"/>
        <v/>
      </c>
      <c r="AD109" s="57" t="str">
        <f t="shared" si="15"/>
        <v/>
      </c>
      <c r="AE109" s="57" t="str">
        <f xml:space="preserve">
IF(OR('Dados da OS'!$D$8=Parâmetros!$B$3,'Dados da OS'!$D$8=Parâmetros!$B$4),
  IF(OR(ISBLANK(X109),ISBLANK(Z109)),
     IF(OR(V109="ALI",V109="AIE"),"L",IF(ISBLANK(V109),"","A")),
     IF(V109="EE",IF(Z109&gt;=3,IF(X109&gt;=5,"H","A"),
     IF(Z109&gt;=2,IF(X109&gt;=16,"H",IF(X109&lt;=4,"L","A")),IF(X109&lt;=15,"L","A"))),
     IF(OR(V109="SE",V109="CE"),IF(Z109&gt;=4,IF(X109&gt;=6,"H","A"),IF(Z109&gt;=2,IF(X109&gt;=20,"H",IF(X109&lt;=5,"L","A")),IF(X109&lt;=19,"L","A"))),
     IF(OR(V109="ALI",V109="AIE"),IF(Z109&gt;=6,IF(X109&gt;=20,"H","A"),IF(Z109&gt;=2,IF(X109&gt;=51,"H",IF(X109&lt;=19,"L","A")),IF(X109&lt;=50,"L","A"))))))),
IF('Dados da OS'!$D$8=Parâmetros!$B$6,"Indicativa",
IF('Dados da OS'!$D$8=Parâmetros!$B$5,"PFS","")))</f>
        <v/>
      </c>
      <c r="AF109" s="57">
        <f>IFERROR(VLOOKUP(W109,'Fatores de Impacto e INMs'!$A$3:$D$32,3,0),1)</f>
        <v>1</v>
      </c>
      <c r="AG109" s="57">
        <f>IFERROR(VLOOKUP(W109,'Fatores de Impacto e INMs'!$A$3:$E$32,5,0),1)</f>
        <v>1</v>
      </c>
      <c r="AH109" s="82" t="str">
        <f xml:space="preserve">
IF(OR('Dados da OS'!$D$8="Selecione o tipo da contagem",ISBLANK('Dados da OS'!$D$8),V109="INM",V109="N/A",ISBLANK(V109),ISBLANK(W109),AG109="VF"),"-",
   IF('Dados da OS'!$D$8=Parâmetros!$B$3,
      IF(OR(ISBLANK(X109),ISBLANK(Z109)),"-",
         IF(AE109="L","Baixa",IF(AE109="A","Média",IF(AE109="H","Alta","-")))),
      IF('Dados da OS'!$D$8=Parâmetros!$B$4,
         IF(OR(V109="ALI",V109="AIE"),"Baixa",IF(OR(V109="EE",V109="SE",V109="CE"),"Média","-")),
         IF(OR('Dados da OS'!$D$8=Parâmetros!$B$5,'Dados da OS'!$D$8=Parâmetros!$B$6),"-"))))</f>
        <v>-</v>
      </c>
      <c r="AI109" s="83" t="str">
        <f xml:space="preserve">
IF(OR(ISBLANK(V109),ISBLANK(U109),ISBLANK(W109),V109="N/A",ISBLANK('Dados da OS'!$D$8)),"",
   IF(OR('Dados da OS'!$D$8=Parâmetros!$B$3,'Dados da OS'!$D$8=Parâmetros!$B$4),
      IF(OR(AND(V109="INM",AG109&lt;&gt;"VF"),AND(AG109="VF",V109&lt;&gt;"INM")),"",
        IF(AND(V109="INM",AG109="VF"),IF(ISBLANK(AB109),"",AF109*AB109),
        IF('Dados da OS'!$D$8=Parâmetros!$B$4,
           IF(OR(V109="CE",V109="EE"),4,IF(V109="SE",5,IF(V109="ALI",7,IF(V109="AIE",5,"")))),
        IF('Dados da OS'!$D$8=Parâmetros!$B$3,
           IF(OR(ISBLANK(X109),ISBLANK(Z109)),"",
              IF(V109="ALI",IF(AE109="L",7,IF(AE109="A",10,15)),
                 IF(V109="AIE",IF(AE109="L",5,IF(AE109="A",7,10)),
                    IF(V109="SE",IF(AE109="L",4,IF(AE109="A",5,7)),
                       IF(OR(V109="EE",V109="CE"),IF(AE109="L",3,IF(AE109="A",4,6)),""))))))))),
   IF('Dados da OS'!$D$8=Parâmetros!$B$5,
      IF(OR(AND(V109="INM",AG109&lt;&gt;"VF"),AND(AG109="VF",V109&lt;&gt;"INM")),"",
         IF(V109="INM",IF(AG109="VF",AF109*AB109,""),
            IF(V109="PE",4.6,
            IF(V109="AL",7,"")))),
   IF('Dados da OS'!$D$8=Parâmetros!$B$6,
      IF(V109="ALI",35,IF(V109="AIE",15,"")),""))
    )
)</f>
        <v/>
      </c>
      <c r="AJ109" s="82" t="str">
        <f t="shared" si="16"/>
        <v/>
      </c>
      <c r="AK109" s="84"/>
      <c r="AL109" s="85" t="s">
        <v>21</v>
      </c>
      <c r="AM109" s="86"/>
      <c r="AN109" s="85"/>
      <c r="AO109" s="87"/>
      <c r="AP109" s="85"/>
      <c r="AQ109" s="86"/>
      <c r="AR109" s="85"/>
    </row>
    <row r="110" spans="1:44" ht="15.75" customHeight="1">
      <c r="A110" s="54"/>
      <c r="B110" s="100"/>
      <c r="C110" s="55"/>
      <c r="D110" s="55"/>
      <c r="E110" s="56"/>
      <c r="F110" s="55"/>
      <c r="G110" s="56"/>
      <c r="H110" s="55"/>
      <c r="I110" s="64"/>
      <c r="J110" s="57" t="str">
        <f t="shared" si="11"/>
        <v/>
      </c>
      <c r="K110" s="57" t="str">
        <f t="shared" si="12"/>
        <v/>
      </c>
      <c r="L110" s="57" t="str">
        <f xml:space="preserve">
IF(OR('Dados da OS'!$D$8=Parâmetros!$B$3,'Dados da OS'!$D$8=Parâmetros!$B$4),
  IF(OR(ISBLANK(D110),ISBLANK(F110)),
     IF(OR(B110="ALI",B110="AIE"),"L",IF(ISBLANK(B110),"","A")),
     IF(B110="EE",IF(F110&gt;=3,IF(D110&gt;=5,"H","A"),
     IF(F110&gt;=2,IF(D110&gt;=16,"H",IF(D110&lt;=4,"L","A")),IF(D110&lt;=15,"L","A"))),
     IF(OR(B110="SE",B110="CE"),IF(F110&gt;=4,IF(D110&gt;=6,"H","A"),IF(F110&gt;=2,IF(D110&gt;=20,"H",IF(D110&lt;=5,"L","A")),IF(D110&lt;=19,"L","A"))),
     IF(OR(B110="ALI",B110="AIE"),IF(F110&gt;=6,IF(D110&gt;=20,"H","A"),IF(F110&gt;=2,IF(D110&gt;=51,"H",IF(D110&lt;=19,"L","A")),IF(D110&lt;=50,"L","A"))))))),
IF('Dados da OS'!$D$8=Parâmetros!$B$6,"Indicativa",
IF('Dados da OS'!$D$8=Parâmetros!$B$5,"PFS","")))</f>
        <v/>
      </c>
      <c r="M110" s="57">
        <f>IFERROR(VLOOKUP(C110,'Fatores de Impacto e INMs'!$A$3:$D$32,3,0),1)</f>
        <v>1</v>
      </c>
      <c r="N110" s="57">
        <f>IFERROR(VLOOKUP(C110,'Fatores de Impacto e INMs'!$A$3:$E$32,5,0),1)</f>
        <v>1</v>
      </c>
      <c r="O110" s="63" t="str">
        <f xml:space="preserve">
IF(OR('Dados da OS'!$D$8="Selecione o tipo da contagem",ISBLANK('Dados da OS'!$D$8),B110="INM",B110="N/A",ISBLANK(B110),ISBLANK(C110),N110="VF"),"-",
   IF('Dados da OS'!$D$8=Parâmetros!$B$3,
      IF(OR(ISBLANK(D110),ISBLANK(F110)),"-",
         IF(L110="L","Baixa",IF(L110="A","Média",IF(L110="H","Alta","-")))),
      IF('Dados da OS'!$D$8=Parâmetros!$B$4,
         IF(OR(B110="ALI",B110="AIE"),"Baixa",IF(OR(B110="EE",B110="SE",B110="CE"),"Média","-")),
         IF(OR('Dados da OS'!$D$8=Parâmetros!$B$5,'Dados da OS'!$D$8=Parâmetros!$B$6),"-"))))</f>
        <v>-</v>
      </c>
      <c r="P110" s="59" t="str">
        <f xml:space="preserve">
IF(OR(ISBLANK(B110),ISBLANK(C110),B110="N/A",ISBLANK('Dados da OS'!$D$8)),"",
   IF(OR('Dados da OS'!$D$8=Parâmetros!$B$3,'Dados da OS'!$D$8=Parâmetros!$B$4),
      IF(OR(AND(B110="INM",N110&lt;&gt;"VF"),AND(N110="VF",B110&lt;&gt;"INM")),"",
        IF(AND(B110="INM",N110="VF"),IF(ISBLANK(H110),"",M110*H110),
        IF('Dados da OS'!$D$8=Parâmetros!$B$4,
           IF(OR(B110="CE",B110="EE"),4,IF(B110="SE",5,IF(B110="ALI",7,IF(B110="AIE",5,"")))),
        IF('Dados da OS'!$D$8=Parâmetros!$B$3,
           IF(OR(ISBLANK(D110),ISBLANK(F110)),"",
              IF(B110="ALI",IF(L110="L",7,IF(L110="A",10,15)),
                 IF(B110="AIE",IF(L110="L",5,IF(L110="A",7,10)),
                    IF(B110="SE",IF(L110="L",4,IF(L110="A",5,7)),
                       IF(OR(B110="EE",B110="CE"),IF(L110="L",3,IF(L110="A",4,6)),""))))))))),
   IF('Dados da OS'!$D$8=Parâmetros!$B$5,
      IF(OR(AND(B110="INM",N110&lt;&gt;"VF"),AND(N110="VF",B110&lt;&gt;"INM")),"",
         IF(B110="INM",IF(N110="VF",M110*H110,""),
            IF(B110="PE",4.6,
            IF(B110="AL",7,"")))),
   IF('Dados da OS'!$D$8=Parâmetros!$B$6,
      IF(B110="ALI",35,IF(B110="AIE",15,"")),""))
    )
)</f>
        <v/>
      </c>
      <c r="Q110" s="60" t="str">
        <f t="shared" si="13"/>
        <v/>
      </c>
      <c r="R110" s="61"/>
      <c r="S110" s="62"/>
      <c r="T110" s="80" t="s">
        <v>21</v>
      </c>
      <c r="U110" s="81"/>
      <c r="V110" s="99"/>
      <c r="W110" s="55"/>
      <c r="X110" s="55"/>
      <c r="Y110" s="56"/>
      <c r="Z110" s="55"/>
      <c r="AA110" s="56"/>
      <c r="AB110" s="55"/>
      <c r="AC110" s="57" t="str">
        <f t="shared" si="14"/>
        <v/>
      </c>
      <c r="AD110" s="57" t="str">
        <f t="shared" si="15"/>
        <v/>
      </c>
      <c r="AE110" s="57" t="str">
        <f xml:space="preserve">
IF(OR('Dados da OS'!$D$8=Parâmetros!$B$3,'Dados da OS'!$D$8=Parâmetros!$B$4),
  IF(OR(ISBLANK(X110),ISBLANK(Z110)),
     IF(OR(V110="ALI",V110="AIE"),"L",IF(ISBLANK(V110),"","A")),
     IF(V110="EE",IF(Z110&gt;=3,IF(X110&gt;=5,"H","A"),
     IF(Z110&gt;=2,IF(X110&gt;=16,"H",IF(X110&lt;=4,"L","A")),IF(X110&lt;=15,"L","A"))),
     IF(OR(V110="SE",V110="CE"),IF(Z110&gt;=4,IF(X110&gt;=6,"H","A"),IF(Z110&gt;=2,IF(X110&gt;=20,"H",IF(X110&lt;=5,"L","A")),IF(X110&lt;=19,"L","A"))),
     IF(OR(V110="ALI",V110="AIE"),IF(Z110&gt;=6,IF(X110&gt;=20,"H","A"),IF(Z110&gt;=2,IF(X110&gt;=51,"H",IF(X110&lt;=19,"L","A")),IF(X110&lt;=50,"L","A"))))))),
IF('Dados da OS'!$D$8=Parâmetros!$B$6,"Indicativa",
IF('Dados da OS'!$D$8=Parâmetros!$B$5,"PFS","")))</f>
        <v/>
      </c>
      <c r="AF110" s="57">
        <f>IFERROR(VLOOKUP(W110,'Fatores de Impacto e INMs'!$A$3:$D$32,3,0),1)</f>
        <v>1</v>
      </c>
      <c r="AG110" s="57">
        <f>IFERROR(VLOOKUP(W110,'Fatores de Impacto e INMs'!$A$3:$E$32,5,0),1)</f>
        <v>1</v>
      </c>
      <c r="AH110" s="82" t="str">
        <f xml:space="preserve">
IF(OR('Dados da OS'!$D$8="Selecione o tipo da contagem",ISBLANK('Dados da OS'!$D$8),V110="INM",V110="N/A",ISBLANK(V110),ISBLANK(W110),AG110="VF"),"-",
   IF('Dados da OS'!$D$8=Parâmetros!$B$3,
      IF(OR(ISBLANK(X110),ISBLANK(Z110)),"-",
         IF(AE110="L","Baixa",IF(AE110="A","Média",IF(AE110="H","Alta","-")))),
      IF('Dados da OS'!$D$8=Parâmetros!$B$4,
         IF(OR(V110="ALI",V110="AIE"),"Baixa",IF(OR(V110="EE",V110="SE",V110="CE"),"Média","-")),
         IF(OR('Dados da OS'!$D$8=Parâmetros!$B$5,'Dados da OS'!$D$8=Parâmetros!$B$6),"-"))))</f>
        <v>-</v>
      </c>
      <c r="AI110" s="83" t="str">
        <f xml:space="preserve">
IF(OR(ISBLANK(V110),ISBLANK(U110),ISBLANK(W110),V110="N/A",ISBLANK('Dados da OS'!$D$8)),"",
   IF(OR('Dados da OS'!$D$8=Parâmetros!$B$3,'Dados da OS'!$D$8=Parâmetros!$B$4),
      IF(OR(AND(V110="INM",AG110&lt;&gt;"VF"),AND(AG110="VF",V110&lt;&gt;"INM")),"",
        IF(AND(V110="INM",AG110="VF"),IF(ISBLANK(AB110),"",AF110*AB110),
        IF('Dados da OS'!$D$8=Parâmetros!$B$4,
           IF(OR(V110="CE",V110="EE"),4,IF(V110="SE",5,IF(V110="ALI",7,IF(V110="AIE",5,"")))),
        IF('Dados da OS'!$D$8=Parâmetros!$B$3,
           IF(OR(ISBLANK(X110),ISBLANK(Z110)),"",
              IF(V110="ALI",IF(AE110="L",7,IF(AE110="A",10,15)),
                 IF(V110="AIE",IF(AE110="L",5,IF(AE110="A",7,10)),
                    IF(V110="SE",IF(AE110="L",4,IF(AE110="A",5,7)),
                       IF(OR(V110="EE",V110="CE"),IF(AE110="L",3,IF(AE110="A",4,6)),""))))))))),
   IF('Dados da OS'!$D$8=Parâmetros!$B$5,
      IF(OR(AND(V110="INM",AG110&lt;&gt;"VF"),AND(AG110="VF",V110&lt;&gt;"INM")),"",
         IF(V110="INM",IF(AG110="VF",AF110*AB110,""),
            IF(V110="PE",4.6,
            IF(V110="AL",7,"")))),
   IF('Dados da OS'!$D$8=Parâmetros!$B$6,
      IF(V110="ALI",35,IF(V110="AIE",15,"")),""))
    )
)</f>
        <v/>
      </c>
      <c r="AJ110" s="82" t="str">
        <f t="shared" si="16"/>
        <v/>
      </c>
      <c r="AK110" s="84"/>
      <c r="AL110" s="85" t="s">
        <v>21</v>
      </c>
      <c r="AM110" s="86"/>
      <c r="AN110" s="85"/>
      <c r="AO110" s="87"/>
      <c r="AP110" s="85"/>
      <c r="AQ110" s="86"/>
      <c r="AR110" s="85"/>
    </row>
    <row r="111" spans="1:44" ht="15.75" customHeight="1">
      <c r="A111" s="54"/>
      <c r="B111" s="100"/>
      <c r="C111" s="55"/>
      <c r="D111" s="55"/>
      <c r="E111" s="56"/>
      <c r="F111" s="55"/>
      <c r="G111" s="56"/>
      <c r="H111" s="55"/>
      <c r="I111" s="64"/>
      <c r="J111" s="57" t="str">
        <f t="shared" si="11"/>
        <v/>
      </c>
      <c r="K111" s="57" t="str">
        <f t="shared" si="12"/>
        <v/>
      </c>
      <c r="L111" s="57" t="str">
        <f xml:space="preserve">
IF(OR('Dados da OS'!$D$8=Parâmetros!$B$3,'Dados da OS'!$D$8=Parâmetros!$B$4),
  IF(OR(ISBLANK(D111),ISBLANK(F111)),
     IF(OR(B111="ALI",B111="AIE"),"L",IF(ISBLANK(B111),"","A")),
     IF(B111="EE",IF(F111&gt;=3,IF(D111&gt;=5,"H","A"),
     IF(F111&gt;=2,IF(D111&gt;=16,"H",IF(D111&lt;=4,"L","A")),IF(D111&lt;=15,"L","A"))),
     IF(OR(B111="SE",B111="CE"),IF(F111&gt;=4,IF(D111&gt;=6,"H","A"),IF(F111&gt;=2,IF(D111&gt;=20,"H",IF(D111&lt;=5,"L","A")),IF(D111&lt;=19,"L","A"))),
     IF(OR(B111="ALI",B111="AIE"),IF(F111&gt;=6,IF(D111&gt;=20,"H","A"),IF(F111&gt;=2,IF(D111&gt;=51,"H",IF(D111&lt;=19,"L","A")),IF(D111&lt;=50,"L","A"))))))),
IF('Dados da OS'!$D$8=Parâmetros!$B$6,"Indicativa",
IF('Dados da OS'!$D$8=Parâmetros!$B$5,"PFS","")))</f>
        <v/>
      </c>
      <c r="M111" s="57">
        <f>IFERROR(VLOOKUP(C111,'Fatores de Impacto e INMs'!$A$3:$D$32,3,0),1)</f>
        <v>1</v>
      </c>
      <c r="N111" s="57">
        <f>IFERROR(VLOOKUP(C111,'Fatores de Impacto e INMs'!$A$3:$E$32,5,0),1)</f>
        <v>1</v>
      </c>
      <c r="O111" s="63" t="str">
        <f xml:space="preserve">
IF(OR('Dados da OS'!$D$8="Selecione o tipo da contagem",ISBLANK('Dados da OS'!$D$8),B111="INM",B111="N/A",ISBLANK(B111),ISBLANK(C111),N111="VF"),"-",
   IF('Dados da OS'!$D$8=Parâmetros!$B$3,
      IF(OR(ISBLANK(D111),ISBLANK(F111)),"-",
         IF(L111="L","Baixa",IF(L111="A","Média",IF(L111="H","Alta","-")))),
      IF('Dados da OS'!$D$8=Parâmetros!$B$4,
         IF(OR(B111="ALI",B111="AIE"),"Baixa",IF(OR(B111="EE",B111="SE",B111="CE"),"Média","-")),
         IF(OR('Dados da OS'!$D$8=Parâmetros!$B$5,'Dados da OS'!$D$8=Parâmetros!$B$6),"-"))))</f>
        <v>-</v>
      </c>
      <c r="P111" s="59" t="str">
        <f xml:space="preserve">
IF(OR(ISBLANK(B111),ISBLANK(C111),B111="N/A",ISBLANK('Dados da OS'!$D$8)),"",
   IF(OR('Dados da OS'!$D$8=Parâmetros!$B$3,'Dados da OS'!$D$8=Parâmetros!$B$4),
      IF(OR(AND(B111="INM",N111&lt;&gt;"VF"),AND(N111="VF",B111&lt;&gt;"INM")),"",
        IF(AND(B111="INM",N111="VF"),IF(ISBLANK(H111),"",M111*H111),
        IF('Dados da OS'!$D$8=Parâmetros!$B$4,
           IF(OR(B111="CE",B111="EE"),4,IF(B111="SE",5,IF(B111="ALI",7,IF(B111="AIE",5,"")))),
        IF('Dados da OS'!$D$8=Parâmetros!$B$3,
           IF(OR(ISBLANK(D111),ISBLANK(F111)),"",
              IF(B111="ALI",IF(L111="L",7,IF(L111="A",10,15)),
                 IF(B111="AIE",IF(L111="L",5,IF(L111="A",7,10)),
                    IF(B111="SE",IF(L111="L",4,IF(L111="A",5,7)),
                       IF(OR(B111="EE",B111="CE"),IF(L111="L",3,IF(L111="A",4,6)),""))))))))),
   IF('Dados da OS'!$D$8=Parâmetros!$B$5,
      IF(OR(AND(B111="INM",N111&lt;&gt;"VF"),AND(N111="VF",B111&lt;&gt;"INM")),"",
         IF(B111="INM",IF(N111="VF",M111*H111,""),
            IF(B111="PE",4.6,
            IF(B111="AL",7,"")))),
   IF('Dados da OS'!$D$8=Parâmetros!$B$6,
      IF(B111="ALI",35,IF(B111="AIE",15,"")),""))
    )
)</f>
        <v/>
      </c>
      <c r="Q111" s="60" t="str">
        <f t="shared" si="13"/>
        <v/>
      </c>
      <c r="R111" s="61"/>
      <c r="S111" s="62"/>
      <c r="T111" s="80" t="s">
        <v>21</v>
      </c>
      <c r="U111" s="81"/>
      <c r="V111" s="99"/>
      <c r="W111" s="55"/>
      <c r="X111" s="55"/>
      <c r="Y111" s="56"/>
      <c r="Z111" s="55"/>
      <c r="AA111" s="56"/>
      <c r="AB111" s="55"/>
      <c r="AC111" s="57" t="str">
        <f t="shared" si="14"/>
        <v/>
      </c>
      <c r="AD111" s="57" t="str">
        <f t="shared" si="15"/>
        <v/>
      </c>
      <c r="AE111" s="57" t="str">
        <f xml:space="preserve">
IF(OR('Dados da OS'!$D$8=Parâmetros!$B$3,'Dados da OS'!$D$8=Parâmetros!$B$4),
  IF(OR(ISBLANK(X111),ISBLANK(Z111)),
     IF(OR(V111="ALI",V111="AIE"),"L",IF(ISBLANK(V111),"","A")),
     IF(V111="EE",IF(Z111&gt;=3,IF(X111&gt;=5,"H","A"),
     IF(Z111&gt;=2,IF(X111&gt;=16,"H",IF(X111&lt;=4,"L","A")),IF(X111&lt;=15,"L","A"))),
     IF(OR(V111="SE",V111="CE"),IF(Z111&gt;=4,IF(X111&gt;=6,"H","A"),IF(Z111&gt;=2,IF(X111&gt;=20,"H",IF(X111&lt;=5,"L","A")),IF(X111&lt;=19,"L","A"))),
     IF(OR(V111="ALI",V111="AIE"),IF(Z111&gt;=6,IF(X111&gt;=20,"H","A"),IF(Z111&gt;=2,IF(X111&gt;=51,"H",IF(X111&lt;=19,"L","A")),IF(X111&lt;=50,"L","A"))))))),
IF('Dados da OS'!$D$8=Parâmetros!$B$6,"Indicativa",
IF('Dados da OS'!$D$8=Parâmetros!$B$5,"PFS","")))</f>
        <v/>
      </c>
      <c r="AF111" s="57">
        <f>IFERROR(VLOOKUP(W111,'Fatores de Impacto e INMs'!$A$3:$D$32,3,0),1)</f>
        <v>1</v>
      </c>
      <c r="AG111" s="57">
        <f>IFERROR(VLOOKUP(W111,'Fatores de Impacto e INMs'!$A$3:$E$32,5,0),1)</f>
        <v>1</v>
      </c>
      <c r="AH111" s="82" t="str">
        <f xml:space="preserve">
IF(OR('Dados da OS'!$D$8="Selecione o tipo da contagem",ISBLANK('Dados da OS'!$D$8),V111="INM",V111="N/A",ISBLANK(V111),ISBLANK(W111),AG111="VF"),"-",
   IF('Dados da OS'!$D$8=Parâmetros!$B$3,
      IF(OR(ISBLANK(X111),ISBLANK(Z111)),"-",
         IF(AE111="L","Baixa",IF(AE111="A","Média",IF(AE111="H","Alta","-")))),
      IF('Dados da OS'!$D$8=Parâmetros!$B$4,
         IF(OR(V111="ALI",V111="AIE"),"Baixa",IF(OR(V111="EE",V111="SE",V111="CE"),"Média","-")),
         IF(OR('Dados da OS'!$D$8=Parâmetros!$B$5,'Dados da OS'!$D$8=Parâmetros!$B$6),"-"))))</f>
        <v>-</v>
      </c>
      <c r="AI111" s="83" t="str">
        <f xml:space="preserve">
IF(OR(ISBLANK(V111),ISBLANK(U111),ISBLANK(W111),V111="N/A",ISBLANK('Dados da OS'!$D$8)),"",
   IF(OR('Dados da OS'!$D$8=Parâmetros!$B$3,'Dados da OS'!$D$8=Parâmetros!$B$4),
      IF(OR(AND(V111="INM",AG111&lt;&gt;"VF"),AND(AG111="VF",V111&lt;&gt;"INM")),"",
        IF(AND(V111="INM",AG111="VF"),IF(ISBLANK(AB111),"",AF111*AB111),
        IF('Dados da OS'!$D$8=Parâmetros!$B$4,
           IF(OR(V111="CE",V111="EE"),4,IF(V111="SE",5,IF(V111="ALI",7,IF(V111="AIE",5,"")))),
        IF('Dados da OS'!$D$8=Parâmetros!$B$3,
           IF(OR(ISBLANK(X111),ISBLANK(Z111)),"",
              IF(V111="ALI",IF(AE111="L",7,IF(AE111="A",10,15)),
                 IF(V111="AIE",IF(AE111="L",5,IF(AE111="A",7,10)),
                    IF(V111="SE",IF(AE111="L",4,IF(AE111="A",5,7)),
                       IF(OR(V111="EE",V111="CE"),IF(AE111="L",3,IF(AE111="A",4,6)),""))))))))),
   IF('Dados da OS'!$D$8=Parâmetros!$B$5,
      IF(OR(AND(V111="INM",AG111&lt;&gt;"VF"),AND(AG111="VF",V111&lt;&gt;"INM")),"",
         IF(V111="INM",IF(AG111="VF",AF111*AB111,""),
            IF(V111="PE",4.6,
            IF(V111="AL",7,"")))),
   IF('Dados da OS'!$D$8=Parâmetros!$B$6,
      IF(V111="ALI",35,IF(V111="AIE",15,"")),""))
    )
)</f>
        <v/>
      </c>
      <c r="AJ111" s="82" t="str">
        <f t="shared" si="16"/>
        <v/>
      </c>
      <c r="AK111" s="84"/>
      <c r="AL111" s="85" t="s">
        <v>21</v>
      </c>
      <c r="AM111" s="86"/>
      <c r="AN111" s="85"/>
      <c r="AO111" s="87"/>
      <c r="AP111" s="85"/>
      <c r="AQ111" s="86"/>
      <c r="AR111" s="85"/>
    </row>
    <row r="112" spans="1:44" ht="15.75" customHeight="1">
      <c r="A112" s="54"/>
      <c r="B112" s="100"/>
      <c r="C112" s="55"/>
      <c r="D112" s="55"/>
      <c r="E112" s="56"/>
      <c r="F112" s="55"/>
      <c r="G112" s="56"/>
      <c r="H112" s="55"/>
      <c r="I112" s="64"/>
      <c r="J112" s="57" t="str">
        <f t="shared" si="11"/>
        <v/>
      </c>
      <c r="K112" s="57" t="str">
        <f t="shared" si="12"/>
        <v/>
      </c>
      <c r="L112" s="57" t="str">
        <f xml:space="preserve">
IF(OR('Dados da OS'!$D$8=Parâmetros!$B$3,'Dados da OS'!$D$8=Parâmetros!$B$4),
  IF(OR(ISBLANK(D112),ISBLANK(F112)),
     IF(OR(B112="ALI",B112="AIE"),"L",IF(ISBLANK(B112),"","A")),
     IF(B112="EE",IF(F112&gt;=3,IF(D112&gt;=5,"H","A"),
     IF(F112&gt;=2,IF(D112&gt;=16,"H",IF(D112&lt;=4,"L","A")),IF(D112&lt;=15,"L","A"))),
     IF(OR(B112="SE",B112="CE"),IF(F112&gt;=4,IF(D112&gt;=6,"H","A"),IF(F112&gt;=2,IF(D112&gt;=20,"H",IF(D112&lt;=5,"L","A")),IF(D112&lt;=19,"L","A"))),
     IF(OR(B112="ALI",B112="AIE"),IF(F112&gt;=6,IF(D112&gt;=20,"H","A"),IF(F112&gt;=2,IF(D112&gt;=51,"H",IF(D112&lt;=19,"L","A")),IF(D112&lt;=50,"L","A"))))))),
IF('Dados da OS'!$D$8=Parâmetros!$B$6,"Indicativa",
IF('Dados da OS'!$D$8=Parâmetros!$B$5,"PFS","")))</f>
        <v/>
      </c>
      <c r="M112" s="57">
        <f>IFERROR(VLOOKUP(C112,'Fatores de Impacto e INMs'!$A$3:$D$32,3,0),1)</f>
        <v>1</v>
      </c>
      <c r="N112" s="57">
        <f>IFERROR(VLOOKUP(C112,'Fatores de Impacto e INMs'!$A$3:$E$32,5,0),1)</f>
        <v>1</v>
      </c>
      <c r="O112" s="63" t="str">
        <f xml:space="preserve">
IF(OR('Dados da OS'!$D$8="Selecione o tipo da contagem",ISBLANK('Dados da OS'!$D$8),B112="INM",B112="N/A",ISBLANK(B112),ISBLANK(C112),N112="VF"),"-",
   IF('Dados da OS'!$D$8=Parâmetros!$B$3,
      IF(OR(ISBLANK(D112),ISBLANK(F112)),"-",
         IF(L112="L","Baixa",IF(L112="A","Média",IF(L112="H","Alta","-")))),
      IF('Dados da OS'!$D$8=Parâmetros!$B$4,
         IF(OR(B112="ALI",B112="AIE"),"Baixa",IF(OR(B112="EE",B112="SE",B112="CE"),"Média","-")),
         IF(OR('Dados da OS'!$D$8=Parâmetros!$B$5,'Dados da OS'!$D$8=Parâmetros!$B$6),"-"))))</f>
        <v>-</v>
      </c>
      <c r="P112" s="59" t="str">
        <f xml:space="preserve">
IF(OR(ISBLANK(B112),ISBLANK(C112),B112="N/A",ISBLANK('Dados da OS'!$D$8)),"",
   IF(OR('Dados da OS'!$D$8=Parâmetros!$B$3,'Dados da OS'!$D$8=Parâmetros!$B$4),
      IF(OR(AND(B112="INM",N112&lt;&gt;"VF"),AND(N112="VF",B112&lt;&gt;"INM")),"",
        IF(AND(B112="INM",N112="VF"),IF(ISBLANK(H112),"",M112*H112),
        IF('Dados da OS'!$D$8=Parâmetros!$B$4,
           IF(OR(B112="CE",B112="EE"),4,IF(B112="SE",5,IF(B112="ALI",7,IF(B112="AIE",5,"")))),
        IF('Dados da OS'!$D$8=Parâmetros!$B$3,
           IF(OR(ISBLANK(D112),ISBLANK(F112)),"",
              IF(B112="ALI",IF(L112="L",7,IF(L112="A",10,15)),
                 IF(B112="AIE",IF(L112="L",5,IF(L112="A",7,10)),
                    IF(B112="SE",IF(L112="L",4,IF(L112="A",5,7)),
                       IF(OR(B112="EE",B112="CE"),IF(L112="L",3,IF(L112="A",4,6)),""))))))))),
   IF('Dados da OS'!$D$8=Parâmetros!$B$5,
      IF(OR(AND(B112="INM",N112&lt;&gt;"VF"),AND(N112="VF",B112&lt;&gt;"INM")),"",
         IF(B112="INM",IF(N112="VF",M112*H112,""),
            IF(B112="PE",4.6,
            IF(B112="AL",7,"")))),
   IF('Dados da OS'!$D$8=Parâmetros!$B$6,
      IF(B112="ALI",35,IF(B112="AIE",15,"")),""))
    )
)</f>
        <v/>
      </c>
      <c r="Q112" s="60" t="str">
        <f t="shared" si="13"/>
        <v/>
      </c>
      <c r="R112" s="61"/>
      <c r="S112" s="62"/>
      <c r="T112" s="80" t="s">
        <v>21</v>
      </c>
      <c r="U112" s="81"/>
      <c r="V112" s="99"/>
      <c r="W112" s="55"/>
      <c r="X112" s="55"/>
      <c r="Y112" s="56"/>
      <c r="Z112" s="55"/>
      <c r="AA112" s="56"/>
      <c r="AB112" s="55"/>
      <c r="AC112" s="57" t="str">
        <f t="shared" si="14"/>
        <v/>
      </c>
      <c r="AD112" s="57" t="str">
        <f t="shared" si="15"/>
        <v/>
      </c>
      <c r="AE112" s="57" t="str">
        <f xml:space="preserve">
IF(OR('Dados da OS'!$D$8=Parâmetros!$B$3,'Dados da OS'!$D$8=Parâmetros!$B$4),
  IF(OR(ISBLANK(X112),ISBLANK(Z112)),
     IF(OR(V112="ALI",V112="AIE"),"L",IF(ISBLANK(V112),"","A")),
     IF(V112="EE",IF(Z112&gt;=3,IF(X112&gt;=5,"H","A"),
     IF(Z112&gt;=2,IF(X112&gt;=16,"H",IF(X112&lt;=4,"L","A")),IF(X112&lt;=15,"L","A"))),
     IF(OR(V112="SE",V112="CE"),IF(Z112&gt;=4,IF(X112&gt;=6,"H","A"),IF(Z112&gt;=2,IF(X112&gt;=20,"H",IF(X112&lt;=5,"L","A")),IF(X112&lt;=19,"L","A"))),
     IF(OR(V112="ALI",V112="AIE"),IF(Z112&gt;=6,IF(X112&gt;=20,"H","A"),IF(Z112&gt;=2,IF(X112&gt;=51,"H",IF(X112&lt;=19,"L","A")),IF(X112&lt;=50,"L","A"))))))),
IF('Dados da OS'!$D$8=Parâmetros!$B$6,"Indicativa",
IF('Dados da OS'!$D$8=Parâmetros!$B$5,"PFS","")))</f>
        <v/>
      </c>
      <c r="AF112" s="57">
        <f>IFERROR(VLOOKUP(W112,'Fatores de Impacto e INMs'!$A$3:$D$32,3,0),1)</f>
        <v>1</v>
      </c>
      <c r="AG112" s="57">
        <f>IFERROR(VLOOKUP(W112,'Fatores de Impacto e INMs'!$A$3:$E$32,5,0),1)</f>
        <v>1</v>
      </c>
      <c r="AH112" s="82" t="str">
        <f xml:space="preserve">
IF(OR('Dados da OS'!$D$8="Selecione o tipo da contagem",ISBLANK('Dados da OS'!$D$8),V112="INM",V112="N/A",ISBLANK(V112),ISBLANK(W112),AG112="VF"),"-",
   IF('Dados da OS'!$D$8=Parâmetros!$B$3,
      IF(OR(ISBLANK(X112),ISBLANK(Z112)),"-",
         IF(AE112="L","Baixa",IF(AE112="A","Média",IF(AE112="H","Alta","-")))),
      IF('Dados da OS'!$D$8=Parâmetros!$B$4,
         IF(OR(V112="ALI",V112="AIE"),"Baixa",IF(OR(V112="EE",V112="SE",V112="CE"),"Média","-")),
         IF(OR('Dados da OS'!$D$8=Parâmetros!$B$5,'Dados da OS'!$D$8=Parâmetros!$B$6),"-"))))</f>
        <v>-</v>
      </c>
      <c r="AI112" s="83" t="str">
        <f xml:space="preserve">
IF(OR(ISBLANK(V112),ISBLANK(U112),ISBLANK(W112),V112="N/A",ISBLANK('Dados da OS'!$D$8)),"",
   IF(OR('Dados da OS'!$D$8=Parâmetros!$B$3,'Dados da OS'!$D$8=Parâmetros!$B$4),
      IF(OR(AND(V112="INM",AG112&lt;&gt;"VF"),AND(AG112="VF",V112&lt;&gt;"INM")),"",
        IF(AND(V112="INM",AG112="VF"),IF(ISBLANK(AB112),"",AF112*AB112),
        IF('Dados da OS'!$D$8=Parâmetros!$B$4,
           IF(OR(V112="CE",V112="EE"),4,IF(V112="SE",5,IF(V112="ALI",7,IF(V112="AIE",5,"")))),
        IF('Dados da OS'!$D$8=Parâmetros!$B$3,
           IF(OR(ISBLANK(X112),ISBLANK(Z112)),"",
              IF(V112="ALI",IF(AE112="L",7,IF(AE112="A",10,15)),
                 IF(V112="AIE",IF(AE112="L",5,IF(AE112="A",7,10)),
                    IF(V112="SE",IF(AE112="L",4,IF(AE112="A",5,7)),
                       IF(OR(V112="EE",V112="CE"),IF(AE112="L",3,IF(AE112="A",4,6)),""))))))))),
   IF('Dados da OS'!$D$8=Parâmetros!$B$5,
      IF(OR(AND(V112="INM",AG112&lt;&gt;"VF"),AND(AG112="VF",V112&lt;&gt;"INM")),"",
         IF(V112="INM",IF(AG112="VF",AF112*AB112,""),
            IF(V112="PE",4.6,
            IF(V112="AL",7,"")))),
   IF('Dados da OS'!$D$8=Parâmetros!$B$6,
      IF(V112="ALI",35,IF(V112="AIE",15,"")),""))
    )
)</f>
        <v/>
      </c>
      <c r="AJ112" s="82" t="str">
        <f t="shared" si="16"/>
        <v/>
      </c>
      <c r="AK112" s="84"/>
      <c r="AL112" s="85" t="s">
        <v>21</v>
      </c>
      <c r="AM112" s="86"/>
      <c r="AN112" s="85"/>
      <c r="AO112" s="87"/>
      <c r="AP112" s="85"/>
      <c r="AQ112" s="86"/>
      <c r="AR112" s="85"/>
    </row>
    <row r="113" spans="1:44" ht="15.75" customHeight="1">
      <c r="A113" s="54"/>
      <c r="B113" s="100"/>
      <c r="C113" s="55"/>
      <c r="D113" s="55"/>
      <c r="E113" s="56"/>
      <c r="F113" s="55"/>
      <c r="G113" s="56"/>
      <c r="H113" s="55"/>
      <c r="I113" s="64"/>
      <c r="J113" s="57" t="str">
        <f t="shared" si="11"/>
        <v/>
      </c>
      <c r="K113" s="57" t="str">
        <f t="shared" si="12"/>
        <v/>
      </c>
      <c r="L113" s="57" t="str">
        <f xml:space="preserve">
IF(OR('Dados da OS'!$D$8=Parâmetros!$B$3,'Dados da OS'!$D$8=Parâmetros!$B$4),
  IF(OR(ISBLANK(D113),ISBLANK(F113)),
     IF(OR(B113="ALI",B113="AIE"),"L",IF(ISBLANK(B113),"","A")),
     IF(B113="EE",IF(F113&gt;=3,IF(D113&gt;=5,"H","A"),
     IF(F113&gt;=2,IF(D113&gt;=16,"H",IF(D113&lt;=4,"L","A")),IF(D113&lt;=15,"L","A"))),
     IF(OR(B113="SE",B113="CE"),IF(F113&gt;=4,IF(D113&gt;=6,"H","A"),IF(F113&gt;=2,IF(D113&gt;=20,"H",IF(D113&lt;=5,"L","A")),IF(D113&lt;=19,"L","A"))),
     IF(OR(B113="ALI",B113="AIE"),IF(F113&gt;=6,IF(D113&gt;=20,"H","A"),IF(F113&gt;=2,IF(D113&gt;=51,"H",IF(D113&lt;=19,"L","A")),IF(D113&lt;=50,"L","A"))))))),
IF('Dados da OS'!$D$8=Parâmetros!$B$6,"Indicativa",
IF('Dados da OS'!$D$8=Parâmetros!$B$5,"PFS","")))</f>
        <v/>
      </c>
      <c r="M113" s="57">
        <f>IFERROR(VLOOKUP(C113,'Fatores de Impacto e INMs'!$A$3:$D$32,3,0),1)</f>
        <v>1</v>
      </c>
      <c r="N113" s="57">
        <f>IFERROR(VLOOKUP(C113,'Fatores de Impacto e INMs'!$A$3:$E$32,5,0),1)</f>
        <v>1</v>
      </c>
      <c r="O113" s="63" t="str">
        <f xml:space="preserve">
IF(OR('Dados da OS'!$D$8="Selecione o tipo da contagem",ISBLANK('Dados da OS'!$D$8),B113="INM",B113="N/A",ISBLANK(B113),ISBLANK(C113),N113="VF"),"-",
   IF('Dados da OS'!$D$8=Parâmetros!$B$3,
      IF(OR(ISBLANK(D113),ISBLANK(F113)),"-",
         IF(L113="L","Baixa",IF(L113="A","Média",IF(L113="H","Alta","-")))),
      IF('Dados da OS'!$D$8=Parâmetros!$B$4,
         IF(OR(B113="ALI",B113="AIE"),"Baixa",IF(OR(B113="EE",B113="SE",B113="CE"),"Média","-")),
         IF(OR('Dados da OS'!$D$8=Parâmetros!$B$5,'Dados da OS'!$D$8=Parâmetros!$B$6),"-"))))</f>
        <v>-</v>
      </c>
      <c r="P113" s="59" t="str">
        <f xml:space="preserve">
IF(OR(ISBLANK(B113),ISBLANK(C113),B113="N/A",ISBLANK('Dados da OS'!$D$8)),"",
   IF(OR('Dados da OS'!$D$8=Parâmetros!$B$3,'Dados da OS'!$D$8=Parâmetros!$B$4),
      IF(OR(AND(B113="INM",N113&lt;&gt;"VF"),AND(N113="VF",B113&lt;&gt;"INM")),"",
        IF(AND(B113="INM",N113="VF"),IF(ISBLANK(H113),"",M113*H113),
        IF('Dados da OS'!$D$8=Parâmetros!$B$4,
           IF(OR(B113="CE",B113="EE"),4,IF(B113="SE",5,IF(B113="ALI",7,IF(B113="AIE",5,"")))),
        IF('Dados da OS'!$D$8=Parâmetros!$B$3,
           IF(OR(ISBLANK(D113),ISBLANK(F113)),"",
              IF(B113="ALI",IF(L113="L",7,IF(L113="A",10,15)),
                 IF(B113="AIE",IF(L113="L",5,IF(L113="A",7,10)),
                    IF(B113="SE",IF(L113="L",4,IF(L113="A",5,7)),
                       IF(OR(B113="EE",B113="CE"),IF(L113="L",3,IF(L113="A",4,6)),""))))))))),
   IF('Dados da OS'!$D$8=Parâmetros!$B$5,
      IF(OR(AND(B113="INM",N113&lt;&gt;"VF"),AND(N113="VF",B113&lt;&gt;"INM")),"",
         IF(B113="INM",IF(N113="VF",M113*H113,""),
            IF(B113="PE",4.6,
            IF(B113="AL",7,"")))),
   IF('Dados da OS'!$D$8=Parâmetros!$B$6,
      IF(B113="ALI",35,IF(B113="AIE",15,"")),""))
    )
)</f>
        <v/>
      </c>
      <c r="Q113" s="60" t="str">
        <f t="shared" si="13"/>
        <v/>
      </c>
      <c r="R113" s="61"/>
      <c r="S113" s="62"/>
      <c r="T113" s="80" t="s">
        <v>21</v>
      </c>
      <c r="U113" s="81"/>
      <c r="V113" s="99"/>
      <c r="W113" s="55"/>
      <c r="X113" s="55"/>
      <c r="Y113" s="56"/>
      <c r="Z113" s="55"/>
      <c r="AA113" s="56"/>
      <c r="AB113" s="55"/>
      <c r="AC113" s="57" t="str">
        <f t="shared" si="14"/>
        <v/>
      </c>
      <c r="AD113" s="57" t="str">
        <f t="shared" si="15"/>
        <v/>
      </c>
      <c r="AE113" s="57" t="str">
        <f xml:space="preserve">
IF(OR('Dados da OS'!$D$8=Parâmetros!$B$3,'Dados da OS'!$D$8=Parâmetros!$B$4),
  IF(OR(ISBLANK(X113),ISBLANK(Z113)),
     IF(OR(V113="ALI",V113="AIE"),"L",IF(ISBLANK(V113),"","A")),
     IF(V113="EE",IF(Z113&gt;=3,IF(X113&gt;=5,"H","A"),
     IF(Z113&gt;=2,IF(X113&gt;=16,"H",IF(X113&lt;=4,"L","A")),IF(X113&lt;=15,"L","A"))),
     IF(OR(V113="SE",V113="CE"),IF(Z113&gt;=4,IF(X113&gt;=6,"H","A"),IF(Z113&gt;=2,IF(X113&gt;=20,"H",IF(X113&lt;=5,"L","A")),IF(X113&lt;=19,"L","A"))),
     IF(OR(V113="ALI",V113="AIE"),IF(Z113&gt;=6,IF(X113&gt;=20,"H","A"),IF(Z113&gt;=2,IF(X113&gt;=51,"H",IF(X113&lt;=19,"L","A")),IF(X113&lt;=50,"L","A"))))))),
IF('Dados da OS'!$D$8=Parâmetros!$B$6,"Indicativa",
IF('Dados da OS'!$D$8=Parâmetros!$B$5,"PFS","")))</f>
        <v/>
      </c>
      <c r="AF113" s="57">
        <f>IFERROR(VLOOKUP(W113,'Fatores de Impacto e INMs'!$A$3:$D$32,3,0),1)</f>
        <v>1</v>
      </c>
      <c r="AG113" s="57">
        <f>IFERROR(VLOOKUP(W113,'Fatores de Impacto e INMs'!$A$3:$E$32,5,0),1)</f>
        <v>1</v>
      </c>
      <c r="AH113" s="82" t="str">
        <f xml:space="preserve">
IF(OR('Dados da OS'!$D$8="Selecione o tipo da contagem",ISBLANK('Dados da OS'!$D$8),V113="INM",V113="N/A",ISBLANK(V113),ISBLANK(W113),AG113="VF"),"-",
   IF('Dados da OS'!$D$8=Parâmetros!$B$3,
      IF(OR(ISBLANK(X113),ISBLANK(Z113)),"-",
         IF(AE113="L","Baixa",IF(AE113="A","Média",IF(AE113="H","Alta","-")))),
      IF('Dados da OS'!$D$8=Parâmetros!$B$4,
         IF(OR(V113="ALI",V113="AIE"),"Baixa",IF(OR(V113="EE",V113="SE",V113="CE"),"Média","-")),
         IF(OR('Dados da OS'!$D$8=Parâmetros!$B$5,'Dados da OS'!$D$8=Parâmetros!$B$6),"-"))))</f>
        <v>-</v>
      </c>
      <c r="AI113" s="83" t="str">
        <f xml:space="preserve">
IF(OR(ISBLANK(V113),ISBLANK(U113),ISBLANK(W113),V113="N/A",ISBLANK('Dados da OS'!$D$8)),"",
   IF(OR('Dados da OS'!$D$8=Parâmetros!$B$3,'Dados da OS'!$D$8=Parâmetros!$B$4),
      IF(OR(AND(V113="INM",AG113&lt;&gt;"VF"),AND(AG113="VF",V113&lt;&gt;"INM")),"",
        IF(AND(V113="INM",AG113="VF"),IF(ISBLANK(AB113),"",AF113*AB113),
        IF('Dados da OS'!$D$8=Parâmetros!$B$4,
           IF(OR(V113="CE",V113="EE"),4,IF(V113="SE",5,IF(V113="ALI",7,IF(V113="AIE",5,"")))),
        IF('Dados da OS'!$D$8=Parâmetros!$B$3,
           IF(OR(ISBLANK(X113),ISBLANK(Z113)),"",
              IF(V113="ALI",IF(AE113="L",7,IF(AE113="A",10,15)),
                 IF(V113="AIE",IF(AE113="L",5,IF(AE113="A",7,10)),
                    IF(V113="SE",IF(AE113="L",4,IF(AE113="A",5,7)),
                       IF(OR(V113="EE",V113="CE"),IF(AE113="L",3,IF(AE113="A",4,6)),""))))))))),
   IF('Dados da OS'!$D$8=Parâmetros!$B$5,
      IF(OR(AND(V113="INM",AG113&lt;&gt;"VF"),AND(AG113="VF",V113&lt;&gt;"INM")),"",
         IF(V113="INM",IF(AG113="VF",AF113*AB113,""),
            IF(V113="PE",4.6,
            IF(V113="AL",7,"")))),
   IF('Dados da OS'!$D$8=Parâmetros!$B$6,
      IF(V113="ALI",35,IF(V113="AIE",15,"")),""))
    )
)</f>
        <v/>
      </c>
      <c r="AJ113" s="82" t="str">
        <f t="shared" si="16"/>
        <v/>
      </c>
      <c r="AK113" s="84"/>
      <c r="AL113" s="85" t="s">
        <v>21</v>
      </c>
      <c r="AM113" s="86"/>
      <c r="AN113" s="85"/>
      <c r="AO113" s="87"/>
      <c r="AP113" s="85"/>
      <c r="AQ113" s="86"/>
      <c r="AR113" s="85"/>
    </row>
    <row r="114" spans="1:44" ht="15.75" customHeight="1">
      <c r="A114" s="54"/>
      <c r="B114" s="100"/>
      <c r="C114" s="55"/>
      <c r="D114" s="55"/>
      <c r="E114" s="56"/>
      <c r="F114" s="55"/>
      <c r="G114" s="56"/>
      <c r="H114" s="55"/>
      <c r="I114" s="64"/>
      <c r="J114" s="57" t="str">
        <f t="shared" si="11"/>
        <v/>
      </c>
      <c r="K114" s="57" t="str">
        <f t="shared" si="12"/>
        <v/>
      </c>
      <c r="L114" s="57" t="str">
        <f xml:space="preserve">
IF(OR('Dados da OS'!$D$8=Parâmetros!$B$3,'Dados da OS'!$D$8=Parâmetros!$B$4),
  IF(OR(ISBLANK(D114),ISBLANK(F114)),
     IF(OR(B114="ALI",B114="AIE"),"L",IF(ISBLANK(B114),"","A")),
     IF(B114="EE",IF(F114&gt;=3,IF(D114&gt;=5,"H","A"),
     IF(F114&gt;=2,IF(D114&gt;=16,"H",IF(D114&lt;=4,"L","A")),IF(D114&lt;=15,"L","A"))),
     IF(OR(B114="SE",B114="CE"),IF(F114&gt;=4,IF(D114&gt;=6,"H","A"),IF(F114&gt;=2,IF(D114&gt;=20,"H",IF(D114&lt;=5,"L","A")),IF(D114&lt;=19,"L","A"))),
     IF(OR(B114="ALI",B114="AIE"),IF(F114&gt;=6,IF(D114&gt;=20,"H","A"),IF(F114&gt;=2,IF(D114&gt;=51,"H",IF(D114&lt;=19,"L","A")),IF(D114&lt;=50,"L","A"))))))),
IF('Dados da OS'!$D$8=Parâmetros!$B$6,"Indicativa",
IF('Dados da OS'!$D$8=Parâmetros!$B$5,"PFS","")))</f>
        <v/>
      </c>
      <c r="M114" s="57">
        <f>IFERROR(VLOOKUP(C114,'Fatores de Impacto e INMs'!$A$3:$D$32,3,0),1)</f>
        <v>1</v>
      </c>
      <c r="N114" s="57">
        <f>IFERROR(VLOOKUP(C114,'Fatores de Impacto e INMs'!$A$3:$E$32,5,0),1)</f>
        <v>1</v>
      </c>
      <c r="O114" s="63" t="str">
        <f xml:space="preserve">
IF(OR('Dados da OS'!$D$8="Selecione o tipo da contagem",ISBLANK('Dados da OS'!$D$8),B114="INM",B114="N/A",ISBLANK(B114),ISBLANK(C114),N114="VF"),"-",
   IF('Dados da OS'!$D$8=Parâmetros!$B$3,
      IF(OR(ISBLANK(D114),ISBLANK(F114)),"-",
         IF(L114="L","Baixa",IF(L114="A","Média",IF(L114="H","Alta","-")))),
      IF('Dados da OS'!$D$8=Parâmetros!$B$4,
         IF(OR(B114="ALI",B114="AIE"),"Baixa",IF(OR(B114="EE",B114="SE",B114="CE"),"Média","-")),
         IF(OR('Dados da OS'!$D$8=Parâmetros!$B$5,'Dados da OS'!$D$8=Parâmetros!$B$6),"-"))))</f>
        <v>-</v>
      </c>
      <c r="P114" s="59" t="str">
        <f xml:space="preserve">
IF(OR(ISBLANK(B114),ISBLANK(C114),B114="N/A",ISBLANK('Dados da OS'!$D$8)),"",
   IF(OR('Dados da OS'!$D$8=Parâmetros!$B$3,'Dados da OS'!$D$8=Parâmetros!$B$4),
      IF(OR(AND(B114="INM",N114&lt;&gt;"VF"),AND(N114="VF",B114&lt;&gt;"INM")),"",
        IF(AND(B114="INM",N114="VF"),IF(ISBLANK(H114),"",M114*H114),
        IF('Dados da OS'!$D$8=Parâmetros!$B$4,
           IF(OR(B114="CE",B114="EE"),4,IF(B114="SE",5,IF(B114="ALI",7,IF(B114="AIE",5,"")))),
        IF('Dados da OS'!$D$8=Parâmetros!$B$3,
           IF(OR(ISBLANK(D114),ISBLANK(F114)),"",
              IF(B114="ALI",IF(L114="L",7,IF(L114="A",10,15)),
                 IF(B114="AIE",IF(L114="L",5,IF(L114="A",7,10)),
                    IF(B114="SE",IF(L114="L",4,IF(L114="A",5,7)),
                       IF(OR(B114="EE",B114="CE"),IF(L114="L",3,IF(L114="A",4,6)),""))))))))),
   IF('Dados da OS'!$D$8=Parâmetros!$B$5,
      IF(OR(AND(B114="INM",N114&lt;&gt;"VF"),AND(N114="VF",B114&lt;&gt;"INM")),"",
         IF(B114="INM",IF(N114="VF",M114*H114,""),
            IF(B114="PE",4.6,
            IF(B114="AL",7,"")))),
   IF('Dados da OS'!$D$8=Parâmetros!$B$6,
      IF(B114="ALI",35,IF(B114="AIE",15,"")),""))
    )
)</f>
        <v/>
      </c>
      <c r="Q114" s="60" t="str">
        <f t="shared" si="13"/>
        <v/>
      </c>
      <c r="R114" s="61"/>
      <c r="S114" s="62"/>
      <c r="T114" s="80" t="s">
        <v>21</v>
      </c>
      <c r="U114" s="81"/>
      <c r="V114" s="99"/>
      <c r="W114" s="55"/>
      <c r="X114" s="55"/>
      <c r="Y114" s="56"/>
      <c r="Z114" s="55"/>
      <c r="AA114" s="56"/>
      <c r="AB114" s="55"/>
      <c r="AC114" s="57" t="str">
        <f t="shared" si="14"/>
        <v/>
      </c>
      <c r="AD114" s="57" t="str">
        <f t="shared" si="15"/>
        <v/>
      </c>
      <c r="AE114" s="57" t="str">
        <f xml:space="preserve">
IF(OR('Dados da OS'!$D$8=Parâmetros!$B$3,'Dados da OS'!$D$8=Parâmetros!$B$4),
  IF(OR(ISBLANK(X114),ISBLANK(Z114)),
     IF(OR(V114="ALI",V114="AIE"),"L",IF(ISBLANK(V114),"","A")),
     IF(V114="EE",IF(Z114&gt;=3,IF(X114&gt;=5,"H","A"),
     IF(Z114&gt;=2,IF(X114&gt;=16,"H",IF(X114&lt;=4,"L","A")),IF(X114&lt;=15,"L","A"))),
     IF(OR(V114="SE",V114="CE"),IF(Z114&gt;=4,IF(X114&gt;=6,"H","A"),IF(Z114&gt;=2,IF(X114&gt;=20,"H",IF(X114&lt;=5,"L","A")),IF(X114&lt;=19,"L","A"))),
     IF(OR(V114="ALI",V114="AIE"),IF(Z114&gt;=6,IF(X114&gt;=20,"H","A"),IF(Z114&gt;=2,IF(X114&gt;=51,"H",IF(X114&lt;=19,"L","A")),IF(X114&lt;=50,"L","A"))))))),
IF('Dados da OS'!$D$8=Parâmetros!$B$6,"Indicativa",
IF('Dados da OS'!$D$8=Parâmetros!$B$5,"PFS","")))</f>
        <v/>
      </c>
      <c r="AF114" s="57">
        <f>IFERROR(VLOOKUP(W114,'Fatores de Impacto e INMs'!$A$3:$D$32,3,0),1)</f>
        <v>1</v>
      </c>
      <c r="AG114" s="57">
        <f>IFERROR(VLOOKUP(W114,'Fatores de Impacto e INMs'!$A$3:$E$32,5,0),1)</f>
        <v>1</v>
      </c>
      <c r="AH114" s="82" t="str">
        <f xml:space="preserve">
IF(OR('Dados da OS'!$D$8="Selecione o tipo da contagem",ISBLANK('Dados da OS'!$D$8),V114="INM",V114="N/A",ISBLANK(V114),ISBLANK(W114),AG114="VF"),"-",
   IF('Dados da OS'!$D$8=Parâmetros!$B$3,
      IF(OR(ISBLANK(X114),ISBLANK(Z114)),"-",
         IF(AE114="L","Baixa",IF(AE114="A","Média",IF(AE114="H","Alta","-")))),
      IF('Dados da OS'!$D$8=Parâmetros!$B$4,
         IF(OR(V114="ALI",V114="AIE"),"Baixa",IF(OR(V114="EE",V114="SE",V114="CE"),"Média","-")),
         IF(OR('Dados da OS'!$D$8=Parâmetros!$B$5,'Dados da OS'!$D$8=Parâmetros!$B$6),"-"))))</f>
        <v>-</v>
      </c>
      <c r="AI114" s="83" t="str">
        <f xml:space="preserve">
IF(OR(ISBLANK(V114),ISBLANK(U114),ISBLANK(W114),V114="N/A",ISBLANK('Dados da OS'!$D$8)),"",
   IF(OR('Dados da OS'!$D$8=Parâmetros!$B$3,'Dados da OS'!$D$8=Parâmetros!$B$4),
      IF(OR(AND(V114="INM",AG114&lt;&gt;"VF"),AND(AG114="VF",V114&lt;&gt;"INM")),"",
        IF(AND(V114="INM",AG114="VF"),IF(ISBLANK(AB114),"",AF114*AB114),
        IF('Dados da OS'!$D$8=Parâmetros!$B$4,
           IF(OR(V114="CE",V114="EE"),4,IF(V114="SE",5,IF(V114="ALI",7,IF(V114="AIE",5,"")))),
        IF('Dados da OS'!$D$8=Parâmetros!$B$3,
           IF(OR(ISBLANK(X114),ISBLANK(Z114)),"",
              IF(V114="ALI",IF(AE114="L",7,IF(AE114="A",10,15)),
                 IF(V114="AIE",IF(AE114="L",5,IF(AE114="A",7,10)),
                    IF(V114="SE",IF(AE114="L",4,IF(AE114="A",5,7)),
                       IF(OR(V114="EE",V114="CE"),IF(AE114="L",3,IF(AE114="A",4,6)),""))))))))),
   IF('Dados da OS'!$D$8=Parâmetros!$B$5,
      IF(OR(AND(V114="INM",AG114&lt;&gt;"VF"),AND(AG114="VF",V114&lt;&gt;"INM")),"",
         IF(V114="INM",IF(AG114="VF",AF114*AB114,""),
            IF(V114="PE",4.6,
            IF(V114="AL",7,"")))),
   IF('Dados da OS'!$D$8=Parâmetros!$B$6,
      IF(V114="ALI",35,IF(V114="AIE",15,"")),""))
    )
)</f>
        <v/>
      </c>
      <c r="AJ114" s="82" t="str">
        <f t="shared" si="16"/>
        <v/>
      </c>
      <c r="AK114" s="84"/>
      <c r="AL114" s="85" t="s">
        <v>21</v>
      </c>
      <c r="AM114" s="86"/>
      <c r="AN114" s="85"/>
      <c r="AO114" s="87"/>
      <c r="AP114" s="85"/>
      <c r="AQ114" s="86"/>
      <c r="AR114" s="85"/>
    </row>
    <row r="115" spans="1:44" ht="15.75" customHeight="1">
      <c r="A115" s="54"/>
      <c r="B115" s="100"/>
      <c r="C115" s="55"/>
      <c r="D115" s="55"/>
      <c r="E115" s="56"/>
      <c r="F115" s="55"/>
      <c r="G115" s="56"/>
      <c r="H115" s="55"/>
      <c r="I115" s="64"/>
      <c r="J115" s="57" t="str">
        <f t="shared" si="11"/>
        <v/>
      </c>
      <c r="K115" s="57" t="str">
        <f t="shared" si="12"/>
        <v/>
      </c>
      <c r="L115" s="57" t="str">
        <f xml:space="preserve">
IF(OR('Dados da OS'!$D$8=Parâmetros!$B$3,'Dados da OS'!$D$8=Parâmetros!$B$4),
  IF(OR(ISBLANK(D115),ISBLANK(F115)),
     IF(OR(B115="ALI",B115="AIE"),"L",IF(ISBLANK(B115),"","A")),
     IF(B115="EE",IF(F115&gt;=3,IF(D115&gt;=5,"H","A"),
     IF(F115&gt;=2,IF(D115&gt;=16,"H",IF(D115&lt;=4,"L","A")),IF(D115&lt;=15,"L","A"))),
     IF(OR(B115="SE",B115="CE"),IF(F115&gt;=4,IF(D115&gt;=6,"H","A"),IF(F115&gt;=2,IF(D115&gt;=20,"H",IF(D115&lt;=5,"L","A")),IF(D115&lt;=19,"L","A"))),
     IF(OR(B115="ALI",B115="AIE"),IF(F115&gt;=6,IF(D115&gt;=20,"H","A"),IF(F115&gt;=2,IF(D115&gt;=51,"H",IF(D115&lt;=19,"L","A")),IF(D115&lt;=50,"L","A"))))))),
IF('Dados da OS'!$D$8=Parâmetros!$B$6,"Indicativa",
IF('Dados da OS'!$D$8=Parâmetros!$B$5,"PFS","")))</f>
        <v/>
      </c>
      <c r="M115" s="57">
        <f>IFERROR(VLOOKUP(C115,'Fatores de Impacto e INMs'!$A$3:$D$32,3,0),1)</f>
        <v>1</v>
      </c>
      <c r="N115" s="57">
        <f>IFERROR(VLOOKUP(C115,'Fatores de Impacto e INMs'!$A$3:$E$32,5,0),1)</f>
        <v>1</v>
      </c>
      <c r="O115" s="63" t="str">
        <f xml:space="preserve">
IF(OR('Dados da OS'!$D$8="Selecione o tipo da contagem",ISBLANK('Dados da OS'!$D$8),B115="INM",B115="N/A",ISBLANK(B115),ISBLANK(C115),N115="VF"),"-",
   IF('Dados da OS'!$D$8=Parâmetros!$B$3,
      IF(OR(ISBLANK(D115),ISBLANK(F115)),"-",
         IF(L115="L","Baixa",IF(L115="A","Média",IF(L115="H","Alta","-")))),
      IF('Dados da OS'!$D$8=Parâmetros!$B$4,
         IF(OR(B115="ALI",B115="AIE"),"Baixa",IF(OR(B115="EE",B115="SE",B115="CE"),"Média","-")),
         IF(OR('Dados da OS'!$D$8=Parâmetros!$B$5,'Dados da OS'!$D$8=Parâmetros!$B$6),"-"))))</f>
        <v>-</v>
      </c>
      <c r="P115" s="59" t="str">
        <f xml:space="preserve">
IF(OR(ISBLANK(B115),ISBLANK(C115),B115="N/A",ISBLANK('Dados da OS'!$D$8)),"",
   IF(OR('Dados da OS'!$D$8=Parâmetros!$B$3,'Dados da OS'!$D$8=Parâmetros!$B$4),
      IF(OR(AND(B115="INM",N115&lt;&gt;"VF"),AND(N115="VF",B115&lt;&gt;"INM")),"",
        IF(AND(B115="INM",N115="VF"),IF(ISBLANK(H115),"",M115*H115),
        IF('Dados da OS'!$D$8=Parâmetros!$B$4,
           IF(OR(B115="CE",B115="EE"),4,IF(B115="SE",5,IF(B115="ALI",7,IF(B115="AIE",5,"")))),
        IF('Dados da OS'!$D$8=Parâmetros!$B$3,
           IF(OR(ISBLANK(D115),ISBLANK(F115)),"",
              IF(B115="ALI",IF(L115="L",7,IF(L115="A",10,15)),
                 IF(B115="AIE",IF(L115="L",5,IF(L115="A",7,10)),
                    IF(B115="SE",IF(L115="L",4,IF(L115="A",5,7)),
                       IF(OR(B115="EE",B115="CE"),IF(L115="L",3,IF(L115="A",4,6)),""))))))))),
   IF('Dados da OS'!$D$8=Parâmetros!$B$5,
      IF(OR(AND(B115="INM",N115&lt;&gt;"VF"),AND(N115="VF",B115&lt;&gt;"INM")),"",
         IF(B115="INM",IF(N115="VF",M115*H115,""),
            IF(B115="PE",4.6,
            IF(B115="AL",7,"")))),
   IF('Dados da OS'!$D$8=Parâmetros!$B$6,
      IF(B115="ALI",35,IF(B115="AIE",15,"")),""))
    )
)</f>
        <v/>
      </c>
      <c r="Q115" s="60" t="str">
        <f t="shared" si="13"/>
        <v/>
      </c>
      <c r="R115" s="61"/>
      <c r="S115" s="62"/>
      <c r="T115" s="80" t="s">
        <v>21</v>
      </c>
      <c r="U115" s="81"/>
      <c r="V115" s="99"/>
      <c r="W115" s="55"/>
      <c r="X115" s="55"/>
      <c r="Y115" s="56"/>
      <c r="Z115" s="55"/>
      <c r="AA115" s="56"/>
      <c r="AB115" s="55"/>
      <c r="AC115" s="57" t="str">
        <f t="shared" si="14"/>
        <v/>
      </c>
      <c r="AD115" s="57" t="str">
        <f t="shared" si="15"/>
        <v/>
      </c>
      <c r="AE115" s="57" t="str">
        <f xml:space="preserve">
IF(OR('Dados da OS'!$D$8=Parâmetros!$B$3,'Dados da OS'!$D$8=Parâmetros!$B$4),
  IF(OR(ISBLANK(X115),ISBLANK(Z115)),
     IF(OR(V115="ALI",V115="AIE"),"L",IF(ISBLANK(V115),"","A")),
     IF(V115="EE",IF(Z115&gt;=3,IF(X115&gt;=5,"H","A"),
     IF(Z115&gt;=2,IF(X115&gt;=16,"H",IF(X115&lt;=4,"L","A")),IF(X115&lt;=15,"L","A"))),
     IF(OR(V115="SE",V115="CE"),IF(Z115&gt;=4,IF(X115&gt;=6,"H","A"),IF(Z115&gt;=2,IF(X115&gt;=20,"H",IF(X115&lt;=5,"L","A")),IF(X115&lt;=19,"L","A"))),
     IF(OR(V115="ALI",V115="AIE"),IF(Z115&gt;=6,IF(X115&gt;=20,"H","A"),IF(Z115&gt;=2,IF(X115&gt;=51,"H",IF(X115&lt;=19,"L","A")),IF(X115&lt;=50,"L","A"))))))),
IF('Dados da OS'!$D$8=Parâmetros!$B$6,"Indicativa",
IF('Dados da OS'!$D$8=Parâmetros!$B$5,"PFS","")))</f>
        <v/>
      </c>
      <c r="AF115" s="57">
        <f>IFERROR(VLOOKUP(W115,'Fatores de Impacto e INMs'!$A$3:$D$32,3,0),1)</f>
        <v>1</v>
      </c>
      <c r="AG115" s="57">
        <f>IFERROR(VLOOKUP(W115,'Fatores de Impacto e INMs'!$A$3:$E$32,5,0),1)</f>
        <v>1</v>
      </c>
      <c r="AH115" s="82" t="str">
        <f xml:space="preserve">
IF(OR('Dados da OS'!$D$8="Selecione o tipo da contagem",ISBLANK('Dados da OS'!$D$8),V115="INM",V115="N/A",ISBLANK(V115),ISBLANK(W115),AG115="VF"),"-",
   IF('Dados da OS'!$D$8=Parâmetros!$B$3,
      IF(OR(ISBLANK(X115),ISBLANK(Z115)),"-",
         IF(AE115="L","Baixa",IF(AE115="A","Média",IF(AE115="H","Alta","-")))),
      IF('Dados da OS'!$D$8=Parâmetros!$B$4,
         IF(OR(V115="ALI",V115="AIE"),"Baixa",IF(OR(V115="EE",V115="SE",V115="CE"),"Média","-")),
         IF(OR('Dados da OS'!$D$8=Parâmetros!$B$5,'Dados da OS'!$D$8=Parâmetros!$B$6),"-"))))</f>
        <v>-</v>
      </c>
      <c r="AI115" s="83" t="str">
        <f xml:space="preserve">
IF(OR(ISBLANK(V115),ISBLANK(U115),ISBLANK(W115),V115="N/A",ISBLANK('Dados da OS'!$D$8)),"",
   IF(OR('Dados da OS'!$D$8=Parâmetros!$B$3,'Dados da OS'!$D$8=Parâmetros!$B$4),
      IF(OR(AND(V115="INM",AG115&lt;&gt;"VF"),AND(AG115="VF",V115&lt;&gt;"INM")),"",
        IF(AND(V115="INM",AG115="VF"),IF(ISBLANK(AB115),"",AF115*AB115),
        IF('Dados da OS'!$D$8=Parâmetros!$B$4,
           IF(OR(V115="CE",V115="EE"),4,IF(V115="SE",5,IF(V115="ALI",7,IF(V115="AIE",5,"")))),
        IF('Dados da OS'!$D$8=Parâmetros!$B$3,
           IF(OR(ISBLANK(X115),ISBLANK(Z115)),"",
              IF(V115="ALI",IF(AE115="L",7,IF(AE115="A",10,15)),
                 IF(V115="AIE",IF(AE115="L",5,IF(AE115="A",7,10)),
                    IF(V115="SE",IF(AE115="L",4,IF(AE115="A",5,7)),
                       IF(OR(V115="EE",V115="CE"),IF(AE115="L",3,IF(AE115="A",4,6)),""))))))))),
   IF('Dados da OS'!$D$8=Parâmetros!$B$5,
      IF(OR(AND(V115="INM",AG115&lt;&gt;"VF"),AND(AG115="VF",V115&lt;&gt;"INM")),"",
         IF(V115="INM",IF(AG115="VF",AF115*AB115,""),
            IF(V115="PE",4.6,
            IF(V115="AL",7,"")))),
   IF('Dados da OS'!$D$8=Parâmetros!$B$6,
      IF(V115="ALI",35,IF(V115="AIE",15,"")),""))
    )
)</f>
        <v/>
      </c>
      <c r="AJ115" s="82" t="str">
        <f t="shared" si="16"/>
        <v/>
      </c>
      <c r="AK115" s="84"/>
      <c r="AL115" s="85" t="s">
        <v>21</v>
      </c>
      <c r="AM115" s="86"/>
      <c r="AN115" s="85"/>
      <c r="AO115" s="87"/>
      <c r="AP115" s="85"/>
      <c r="AQ115" s="86"/>
      <c r="AR115" s="85"/>
    </row>
    <row r="116" spans="1:44" ht="15.75" customHeight="1">
      <c r="A116" s="54"/>
      <c r="B116" s="100"/>
      <c r="C116" s="55"/>
      <c r="D116" s="55"/>
      <c r="E116" s="56"/>
      <c r="F116" s="55"/>
      <c r="G116" s="56"/>
      <c r="H116" s="55"/>
      <c r="I116" s="64"/>
      <c r="J116" s="57" t="str">
        <f t="shared" ref="J116:J179" si="17">CONCATENATE(B116,L116)</f>
        <v/>
      </c>
      <c r="K116" s="57" t="str">
        <f t="shared" ref="K116:K179" si="18">CONCATENATE(B116,C116,L116,Q116)</f>
        <v/>
      </c>
      <c r="L116" s="57" t="str">
        <f xml:space="preserve">
IF(OR('Dados da OS'!$D$8=Parâmetros!$B$3,'Dados da OS'!$D$8=Parâmetros!$B$4),
  IF(OR(ISBLANK(D116),ISBLANK(F116)),
     IF(OR(B116="ALI",B116="AIE"),"L",IF(ISBLANK(B116),"","A")),
     IF(B116="EE",IF(F116&gt;=3,IF(D116&gt;=5,"H","A"),
     IF(F116&gt;=2,IF(D116&gt;=16,"H",IF(D116&lt;=4,"L","A")),IF(D116&lt;=15,"L","A"))),
     IF(OR(B116="SE",B116="CE"),IF(F116&gt;=4,IF(D116&gt;=6,"H","A"),IF(F116&gt;=2,IF(D116&gt;=20,"H",IF(D116&lt;=5,"L","A")),IF(D116&lt;=19,"L","A"))),
     IF(OR(B116="ALI",B116="AIE"),IF(F116&gt;=6,IF(D116&gt;=20,"H","A"),IF(F116&gt;=2,IF(D116&gt;=51,"H",IF(D116&lt;=19,"L","A")),IF(D116&lt;=50,"L","A"))))))),
IF('Dados da OS'!$D$8=Parâmetros!$B$6,"Indicativa",
IF('Dados da OS'!$D$8=Parâmetros!$B$5,"PFS","")))</f>
        <v/>
      </c>
      <c r="M116" s="57">
        <f>IFERROR(VLOOKUP(C116,'Fatores de Impacto e INMs'!$A$3:$D$32,3,0),1)</f>
        <v>1</v>
      </c>
      <c r="N116" s="57">
        <f>IFERROR(VLOOKUP(C116,'Fatores de Impacto e INMs'!$A$3:$E$32,5,0),1)</f>
        <v>1</v>
      </c>
      <c r="O116" s="63" t="str">
        <f xml:space="preserve">
IF(OR('Dados da OS'!$D$8="Selecione o tipo da contagem",ISBLANK('Dados da OS'!$D$8),B116="INM",B116="N/A",ISBLANK(B116),ISBLANK(C116),N116="VF"),"-",
   IF('Dados da OS'!$D$8=Parâmetros!$B$3,
      IF(OR(ISBLANK(D116),ISBLANK(F116)),"-",
         IF(L116="L","Baixa",IF(L116="A","Média",IF(L116="H","Alta","-")))),
      IF('Dados da OS'!$D$8=Parâmetros!$B$4,
         IF(OR(B116="ALI",B116="AIE"),"Baixa",IF(OR(B116="EE",B116="SE",B116="CE"),"Média","-")),
         IF(OR('Dados da OS'!$D$8=Parâmetros!$B$5,'Dados da OS'!$D$8=Parâmetros!$B$6),"-"))))</f>
        <v>-</v>
      </c>
      <c r="P116" s="59" t="str">
        <f xml:space="preserve">
IF(OR(ISBLANK(B116),ISBLANK(C116),B116="N/A",ISBLANK('Dados da OS'!$D$8)),"",
   IF(OR('Dados da OS'!$D$8=Parâmetros!$B$3,'Dados da OS'!$D$8=Parâmetros!$B$4),
      IF(OR(AND(B116="INM",N116&lt;&gt;"VF"),AND(N116="VF",B116&lt;&gt;"INM")),"",
        IF(AND(B116="INM",N116="VF"),IF(ISBLANK(H116),"",M116*H116),
        IF('Dados da OS'!$D$8=Parâmetros!$B$4,
           IF(OR(B116="CE",B116="EE"),4,IF(B116="SE",5,IF(B116="ALI",7,IF(B116="AIE",5,"")))),
        IF('Dados da OS'!$D$8=Parâmetros!$B$3,
           IF(OR(ISBLANK(D116),ISBLANK(F116)),"",
              IF(B116="ALI",IF(L116="L",7,IF(L116="A",10,15)),
                 IF(B116="AIE",IF(L116="L",5,IF(L116="A",7,10)),
                    IF(B116="SE",IF(L116="L",4,IF(L116="A",5,7)),
                       IF(OR(B116="EE",B116="CE"),IF(L116="L",3,IF(L116="A",4,6)),""))))))))),
   IF('Dados da OS'!$D$8=Parâmetros!$B$5,
      IF(OR(AND(B116="INM",N116&lt;&gt;"VF"),AND(N116="VF",B116&lt;&gt;"INM")),"",
         IF(B116="INM",IF(N116="VF",M116*H116,""),
            IF(B116="PE",4.6,
            IF(B116="AL",7,"")))),
   IF('Dados da OS'!$D$8=Parâmetros!$B$6,
      IF(B116="ALI",35,IF(B116="AIE",15,"")),""))
    )
)</f>
        <v/>
      </c>
      <c r="Q116" s="60" t="str">
        <f t="shared" si="13"/>
        <v/>
      </c>
      <c r="R116" s="61"/>
      <c r="S116" s="62"/>
      <c r="T116" s="80" t="s">
        <v>21</v>
      </c>
      <c r="U116" s="81"/>
      <c r="V116" s="99"/>
      <c r="W116" s="55"/>
      <c r="X116" s="55"/>
      <c r="Y116" s="56"/>
      <c r="Z116" s="55"/>
      <c r="AA116" s="56"/>
      <c r="AB116" s="55"/>
      <c r="AC116" s="57" t="str">
        <f t="shared" si="14"/>
        <v/>
      </c>
      <c r="AD116" s="57" t="str">
        <f t="shared" si="15"/>
        <v/>
      </c>
      <c r="AE116" s="57" t="str">
        <f xml:space="preserve">
IF(OR('Dados da OS'!$D$8=Parâmetros!$B$3,'Dados da OS'!$D$8=Parâmetros!$B$4),
  IF(OR(ISBLANK(X116),ISBLANK(Z116)),
     IF(OR(V116="ALI",V116="AIE"),"L",IF(ISBLANK(V116),"","A")),
     IF(V116="EE",IF(Z116&gt;=3,IF(X116&gt;=5,"H","A"),
     IF(Z116&gt;=2,IF(X116&gt;=16,"H",IF(X116&lt;=4,"L","A")),IF(X116&lt;=15,"L","A"))),
     IF(OR(V116="SE",V116="CE"),IF(Z116&gt;=4,IF(X116&gt;=6,"H","A"),IF(Z116&gt;=2,IF(X116&gt;=20,"H",IF(X116&lt;=5,"L","A")),IF(X116&lt;=19,"L","A"))),
     IF(OR(V116="ALI",V116="AIE"),IF(Z116&gt;=6,IF(X116&gt;=20,"H","A"),IF(Z116&gt;=2,IF(X116&gt;=51,"H",IF(X116&lt;=19,"L","A")),IF(X116&lt;=50,"L","A"))))))),
IF('Dados da OS'!$D$8=Parâmetros!$B$6,"Indicativa",
IF('Dados da OS'!$D$8=Parâmetros!$B$5,"PFS","")))</f>
        <v/>
      </c>
      <c r="AF116" s="57">
        <f>IFERROR(VLOOKUP(W116,'Fatores de Impacto e INMs'!$A$3:$D$32,3,0),1)</f>
        <v>1</v>
      </c>
      <c r="AG116" s="57">
        <f>IFERROR(VLOOKUP(W116,'Fatores de Impacto e INMs'!$A$3:$E$32,5,0),1)</f>
        <v>1</v>
      </c>
      <c r="AH116" s="82" t="str">
        <f xml:space="preserve">
IF(OR('Dados da OS'!$D$8="Selecione o tipo da contagem",ISBLANK('Dados da OS'!$D$8),V116="INM",V116="N/A",ISBLANK(V116),ISBLANK(W116),AG116="VF"),"-",
   IF('Dados da OS'!$D$8=Parâmetros!$B$3,
      IF(OR(ISBLANK(X116),ISBLANK(Z116)),"-",
         IF(AE116="L","Baixa",IF(AE116="A","Média",IF(AE116="H","Alta","-")))),
      IF('Dados da OS'!$D$8=Parâmetros!$B$4,
         IF(OR(V116="ALI",V116="AIE"),"Baixa",IF(OR(V116="EE",V116="SE",V116="CE"),"Média","-")),
         IF(OR('Dados da OS'!$D$8=Parâmetros!$B$5,'Dados da OS'!$D$8=Parâmetros!$B$6),"-"))))</f>
        <v>-</v>
      </c>
      <c r="AI116" s="83" t="str">
        <f xml:space="preserve">
IF(OR(ISBLANK(V116),ISBLANK(U116),ISBLANK(W116),V116="N/A",ISBLANK('Dados da OS'!$D$8)),"",
   IF(OR('Dados da OS'!$D$8=Parâmetros!$B$3,'Dados da OS'!$D$8=Parâmetros!$B$4),
      IF(OR(AND(V116="INM",AG116&lt;&gt;"VF"),AND(AG116="VF",V116&lt;&gt;"INM")),"",
        IF(AND(V116="INM",AG116="VF"),IF(ISBLANK(AB116),"",AF116*AB116),
        IF('Dados da OS'!$D$8=Parâmetros!$B$4,
           IF(OR(V116="CE",V116="EE"),4,IF(V116="SE",5,IF(V116="ALI",7,IF(V116="AIE",5,"")))),
        IF('Dados da OS'!$D$8=Parâmetros!$B$3,
           IF(OR(ISBLANK(X116),ISBLANK(Z116)),"",
              IF(V116="ALI",IF(AE116="L",7,IF(AE116="A",10,15)),
                 IF(V116="AIE",IF(AE116="L",5,IF(AE116="A",7,10)),
                    IF(V116="SE",IF(AE116="L",4,IF(AE116="A",5,7)),
                       IF(OR(V116="EE",V116="CE"),IF(AE116="L",3,IF(AE116="A",4,6)),""))))))))),
   IF('Dados da OS'!$D$8=Parâmetros!$B$5,
      IF(OR(AND(V116="INM",AG116&lt;&gt;"VF"),AND(AG116="VF",V116&lt;&gt;"INM")),"",
         IF(V116="INM",IF(AG116="VF",AF116*AB116,""),
            IF(V116="PE",4.6,
            IF(V116="AL",7,"")))),
   IF('Dados da OS'!$D$8=Parâmetros!$B$6,
      IF(V116="ALI",35,IF(V116="AIE",15,"")),""))
    )
)</f>
        <v/>
      </c>
      <c r="AJ116" s="82" t="str">
        <f t="shared" si="16"/>
        <v/>
      </c>
      <c r="AK116" s="84"/>
      <c r="AL116" s="85" t="s">
        <v>21</v>
      </c>
      <c r="AM116" s="86"/>
      <c r="AN116" s="85"/>
      <c r="AO116" s="87"/>
      <c r="AP116" s="85"/>
      <c r="AQ116" s="86"/>
      <c r="AR116" s="85"/>
    </row>
    <row r="117" spans="1:44" ht="15.75" customHeight="1">
      <c r="A117" s="54"/>
      <c r="B117" s="100"/>
      <c r="C117" s="55"/>
      <c r="D117" s="55"/>
      <c r="E117" s="56"/>
      <c r="F117" s="55"/>
      <c r="G117" s="56"/>
      <c r="H117" s="55"/>
      <c r="I117" s="64"/>
      <c r="J117" s="57" t="str">
        <f t="shared" si="17"/>
        <v/>
      </c>
      <c r="K117" s="57" t="str">
        <f t="shared" si="18"/>
        <v/>
      </c>
      <c r="L117" s="57" t="str">
        <f xml:space="preserve">
IF(OR('Dados da OS'!$D$8=Parâmetros!$B$3,'Dados da OS'!$D$8=Parâmetros!$B$4),
  IF(OR(ISBLANK(D117),ISBLANK(F117)),
     IF(OR(B117="ALI",B117="AIE"),"L",IF(ISBLANK(B117),"","A")),
     IF(B117="EE",IF(F117&gt;=3,IF(D117&gt;=5,"H","A"),
     IF(F117&gt;=2,IF(D117&gt;=16,"H",IF(D117&lt;=4,"L","A")),IF(D117&lt;=15,"L","A"))),
     IF(OR(B117="SE",B117="CE"),IF(F117&gt;=4,IF(D117&gt;=6,"H","A"),IF(F117&gt;=2,IF(D117&gt;=20,"H",IF(D117&lt;=5,"L","A")),IF(D117&lt;=19,"L","A"))),
     IF(OR(B117="ALI",B117="AIE"),IF(F117&gt;=6,IF(D117&gt;=20,"H","A"),IF(F117&gt;=2,IF(D117&gt;=51,"H",IF(D117&lt;=19,"L","A")),IF(D117&lt;=50,"L","A"))))))),
IF('Dados da OS'!$D$8=Parâmetros!$B$6,"Indicativa",
IF('Dados da OS'!$D$8=Parâmetros!$B$5,"PFS","")))</f>
        <v/>
      </c>
      <c r="M117" s="57">
        <f>IFERROR(VLOOKUP(C117,'Fatores de Impacto e INMs'!$A$3:$D$32,3,0),1)</f>
        <v>1</v>
      </c>
      <c r="N117" s="57">
        <f>IFERROR(VLOOKUP(C117,'Fatores de Impacto e INMs'!$A$3:$E$32,5,0),1)</f>
        <v>1</v>
      </c>
      <c r="O117" s="63" t="str">
        <f xml:space="preserve">
IF(OR('Dados da OS'!$D$8="Selecione o tipo da contagem",ISBLANK('Dados da OS'!$D$8),B117="INM",B117="N/A",ISBLANK(B117),ISBLANK(C117),N117="VF"),"-",
   IF('Dados da OS'!$D$8=Parâmetros!$B$3,
      IF(OR(ISBLANK(D117),ISBLANK(F117)),"-",
         IF(L117="L","Baixa",IF(L117="A","Média",IF(L117="H","Alta","-")))),
      IF('Dados da OS'!$D$8=Parâmetros!$B$4,
         IF(OR(B117="ALI",B117="AIE"),"Baixa",IF(OR(B117="EE",B117="SE",B117="CE"),"Média","-")),
         IF(OR('Dados da OS'!$D$8=Parâmetros!$B$5,'Dados da OS'!$D$8=Parâmetros!$B$6),"-"))))</f>
        <v>-</v>
      </c>
      <c r="P117" s="59" t="str">
        <f xml:space="preserve">
IF(OR(ISBLANK(B117),ISBLANK(C117),B117="N/A",ISBLANK('Dados da OS'!$D$8)),"",
   IF(OR('Dados da OS'!$D$8=Parâmetros!$B$3,'Dados da OS'!$D$8=Parâmetros!$B$4),
      IF(OR(AND(B117="INM",N117&lt;&gt;"VF"),AND(N117="VF",B117&lt;&gt;"INM")),"",
        IF(AND(B117="INM",N117="VF"),IF(ISBLANK(H117),"",M117*H117),
        IF('Dados da OS'!$D$8=Parâmetros!$B$4,
           IF(OR(B117="CE",B117="EE"),4,IF(B117="SE",5,IF(B117="ALI",7,IF(B117="AIE",5,"")))),
        IF('Dados da OS'!$D$8=Parâmetros!$B$3,
           IF(OR(ISBLANK(D117),ISBLANK(F117)),"",
              IF(B117="ALI",IF(L117="L",7,IF(L117="A",10,15)),
                 IF(B117="AIE",IF(L117="L",5,IF(L117="A",7,10)),
                    IF(B117="SE",IF(L117="L",4,IF(L117="A",5,7)),
                       IF(OR(B117="EE",B117="CE"),IF(L117="L",3,IF(L117="A",4,6)),""))))))))),
   IF('Dados da OS'!$D$8=Parâmetros!$B$5,
      IF(OR(AND(B117="INM",N117&lt;&gt;"VF"),AND(N117="VF",B117&lt;&gt;"INM")),"",
         IF(B117="INM",IF(N117="VF",M117*H117,""),
            IF(B117="PE",4.6,
            IF(B117="AL",7,"")))),
   IF('Dados da OS'!$D$8=Parâmetros!$B$6,
      IF(B117="ALI",35,IF(B117="AIE",15,"")),""))
    )
)</f>
        <v/>
      </c>
      <c r="Q117" s="60" t="str">
        <f t="shared" si="13"/>
        <v/>
      </c>
      <c r="R117" s="61"/>
      <c r="S117" s="62"/>
      <c r="T117" s="80" t="s">
        <v>21</v>
      </c>
      <c r="U117" s="81"/>
      <c r="V117" s="99"/>
      <c r="W117" s="55"/>
      <c r="X117" s="55"/>
      <c r="Y117" s="56"/>
      <c r="Z117" s="55"/>
      <c r="AA117" s="56"/>
      <c r="AB117" s="55"/>
      <c r="AC117" s="57" t="str">
        <f t="shared" si="14"/>
        <v/>
      </c>
      <c r="AD117" s="57" t="str">
        <f t="shared" si="15"/>
        <v/>
      </c>
      <c r="AE117" s="57" t="str">
        <f xml:space="preserve">
IF(OR('Dados da OS'!$D$8=Parâmetros!$B$3,'Dados da OS'!$D$8=Parâmetros!$B$4),
  IF(OR(ISBLANK(X117),ISBLANK(Z117)),
     IF(OR(V117="ALI",V117="AIE"),"L",IF(ISBLANK(V117),"","A")),
     IF(V117="EE",IF(Z117&gt;=3,IF(X117&gt;=5,"H","A"),
     IF(Z117&gt;=2,IF(X117&gt;=16,"H",IF(X117&lt;=4,"L","A")),IF(X117&lt;=15,"L","A"))),
     IF(OR(V117="SE",V117="CE"),IF(Z117&gt;=4,IF(X117&gt;=6,"H","A"),IF(Z117&gt;=2,IF(X117&gt;=20,"H",IF(X117&lt;=5,"L","A")),IF(X117&lt;=19,"L","A"))),
     IF(OR(V117="ALI",V117="AIE"),IF(Z117&gt;=6,IF(X117&gt;=20,"H","A"),IF(Z117&gt;=2,IF(X117&gt;=51,"H",IF(X117&lt;=19,"L","A")),IF(X117&lt;=50,"L","A"))))))),
IF('Dados da OS'!$D$8=Parâmetros!$B$6,"Indicativa",
IF('Dados da OS'!$D$8=Parâmetros!$B$5,"PFS","")))</f>
        <v/>
      </c>
      <c r="AF117" s="57">
        <f>IFERROR(VLOOKUP(W117,'Fatores de Impacto e INMs'!$A$3:$D$32,3,0),1)</f>
        <v>1</v>
      </c>
      <c r="AG117" s="57">
        <f>IFERROR(VLOOKUP(W117,'Fatores de Impacto e INMs'!$A$3:$E$32,5,0),1)</f>
        <v>1</v>
      </c>
      <c r="AH117" s="82" t="str">
        <f xml:space="preserve">
IF(OR('Dados da OS'!$D$8="Selecione o tipo da contagem",ISBLANK('Dados da OS'!$D$8),V117="INM",V117="N/A",ISBLANK(V117),ISBLANK(W117),AG117="VF"),"-",
   IF('Dados da OS'!$D$8=Parâmetros!$B$3,
      IF(OR(ISBLANK(X117),ISBLANK(Z117)),"-",
         IF(AE117="L","Baixa",IF(AE117="A","Média",IF(AE117="H","Alta","-")))),
      IF('Dados da OS'!$D$8=Parâmetros!$B$4,
         IF(OR(V117="ALI",V117="AIE"),"Baixa",IF(OR(V117="EE",V117="SE",V117="CE"),"Média","-")),
         IF(OR('Dados da OS'!$D$8=Parâmetros!$B$5,'Dados da OS'!$D$8=Parâmetros!$B$6),"-"))))</f>
        <v>-</v>
      </c>
      <c r="AI117" s="83" t="str">
        <f xml:space="preserve">
IF(OR(ISBLANK(V117),ISBLANK(U117),ISBLANK(W117),V117="N/A",ISBLANK('Dados da OS'!$D$8)),"",
   IF(OR('Dados da OS'!$D$8=Parâmetros!$B$3,'Dados da OS'!$D$8=Parâmetros!$B$4),
      IF(OR(AND(V117="INM",AG117&lt;&gt;"VF"),AND(AG117="VF",V117&lt;&gt;"INM")),"",
        IF(AND(V117="INM",AG117="VF"),IF(ISBLANK(AB117),"",AF117*AB117),
        IF('Dados da OS'!$D$8=Parâmetros!$B$4,
           IF(OR(V117="CE",V117="EE"),4,IF(V117="SE",5,IF(V117="ALI",7,IF(V117="AIE",5,"")))),
        IF('Dados da OS'!$D$8=Parâmetros!$B$3,
           IF(OR(ISBLANK(X117),ISBLANK(Z117)),"",
              IF(V117="ALI",IF(AE117="L",7,IF(AE117="A",10,15)),
                 IF(V117="AIE",IF(AE117="L",5,IF(AE117="A",7,10)),
                    IF(V117="SE",IF(AE117="L",4,IF(AE117="A",5,7)),
                       IF(OR(V117="EE",V117="CE"),IF(AE117="L",3,IF(AE117="A",4,6)),""))))))))),
   IF('Dados da OS'!$D$8=Parâmetros!$B$5,
      IF(OR(AND(V117="INM",AG117&lt;&gt;"VF"),AND(AG117="VF",V117&lt;&gt;"INM")),"",
         IF(V117="INM",IF(AG117="VF",AF117*AB117,""),
            IF(V117="PE",4.6,
            IF(V117="AL",7,"")))),
   IF('Dados da OS'!$D$8=Parâmetros!$B$6,
      IF(V117="ALI",35,IF(V117="AIE",15,"")),""))
    )
)</f>
        <v/>
      </c>
      <c r="AJ117" s="82" t="str">
        <f t="shared" si="16"/>
        <v/>
      </c>
      <c r="AK117" s="84"/>
      <c r="AL117" s="85" t="s">
        <v>21</v>
      </c>
      <c r="AM117" s="86"/>
      <c r="AN117" s="85"/>
      <c r="AO117" s="87"/>
      <c r="AP117" s="85"/>
      <c r="AQ117" s="86"/>
      <c r="AR117" s="85"/>
    </row>
    <row r="118" spans="1:44" ht="15.75" customHeight="1">
      <c r="A118" s="54"/>
      <c r="B118" s="100"/>
      <c r="C118" s="55"/>
      <c r="D118" s="55"/>
      <c r="E118" s="56"/>
      <c r="F118" s="55"/>
      <c r="G118" s="56"/>
      <c r="H118" s="55"/>
      <c r="I118" s="64"/>
      <c r="J118" s="57" t="str">
        <f t="shared" si="17"/>
        <v/>
      </c>
      <c r="K118" s="57" t="str">
        <f t="shared" si="18"/>
        <v/>
      </c>
      <c r="L118" s="57" t="str">
        <f xml:space="preserve">
IF(OR('Dados da OS'!$D$8=Parâmetros!$B$3,'Dados da OS'!$D$8=Parâmetros!$B$4),
  IF(OR(ISBLANK(D118),ISBLANK(F118)),
     IF(OR(B118="ALI",B118="AIE"),"L",IF(ISBLANK(B118),"","A")),
     IF(B118="EE",IF(F118&gt;=3,IF(D118&gt;=5,"H","A"),
     IF(F118&gt;=2,IF(D118&gt;=16,"H",IF(D118&lt;=4,"L","A")),IF(D118&lt;=15,"L","A"))),
     IF(OR(B118="SE",B118="CE"),IF(F118&gt;=4,IF(D118&gt;=6,"H","A"),IF(F118&gt;=2,IF(D118&gt;=20,"H",IF(D118&lt;=5,"L","A")),IF(D118&lt;=19,"L","A"))),
     IF(OR(B118="ALI",B118="AIE"),IF(F118&gt;=6,IF(D118&gt;=20,"H","A"),IF(F118&gt;=2,IF(D118&gt;=51,"H",IF(D118&lt;=19,"L","A")),IF(D118&lt;=50,"L","A"))))))),
IF('Dados da OS'!$D$8=Parâmetros!$B$6,"Indicativa",
IF('Dados da OS'!$D$8=Parâmetros!$B$5,"PFS","")))</f>
        <v/>
      </c>
      <c r="M118" s="57">
        <f>IFERROR(VLOOKUP(C118,'Fatores de Impacto e INMs'!$A$3:$D$32,3,0),1)</f>
        <v>1</v>
      </c>
      <c r="N118" s="57">
        <f>IFERROR(VLOOKUP(C118,'Fatores de Impacto e INMs'!$A$3:$E$32,5,0),1)</f>
        <v>1</v>
      </c>
      <c r="O118" s="63" t="str">
        <f xml:space="preserve">
IF(OR('Dados da OS'!$D$8="Selecione o tipo da contagem",ISBLANK('Dados da OS'!$D$8),B118="INM",B118="N/A",ISBLANK(B118),ISBLANK(C118),N118="VF"),"-",
   IF('Dados da OS'!$D$8=Parâmetros!$B$3,
      IF(OR(ISBLANK(D118),ISBLANK(F118)),"-",
         IF(L118="L","Baixa",IF(L118="A","Média",IF(L118="H","Alta","-")))),
      IF('Dados da OS'!$D$8=Parâmetros!$B$4,
         IF(OR(B118="ALI",B118="AIE"),"Baixa",IF(OR(B118="EE",B118="SE",B118="CE"),"Média","-")),
         IF(OR('Dados da OS'!$D$8=Parâmetros!$B$5,'Dados da OS'!$D$8=Parâmetros!$B$6),"-"))))</f>
        <v>-</v>
      </c>
      <c r="P118" s="59" t="str">
        <f xml:space="preserve">
IF(OR(ISBLANK(B118),ISBLANK(C118),B118="N/A",ISBLANK('Dados da OS'!$D$8)),"",
   IF(OR('Dados da OS'!$D$8=Parâmetros!$B$3,'Dados da OS'!$D$8=Parâmetros!$B$4),
      IF(OR(AND(B118="INM",N118&lt;&gt;"VF"),AND(N118="VF",B118&lt;&gt;"INM")),"",
        IF(AND(B118="INM",N118="VF"),IF(ISBLANK(H118),"",M118*H118),
        IF('Dados da OS'!$D$8=Parâmetros!$B$4,
           IF(OR(B118="CE",B118="EE"),4,IF(B118="SE",5,IF(B118="ALI",7,IF(B118="AIE",5,"")))),
        IF('Dados da OS'!$D$8=Parâmetros!$B$3,
           IF(OR(ISBLANK(D118),ISBLANK(F118)),"",
              IF(B118="ALI",IF(L118="L",7,IF(L118="A",10,15)),
                 IF(B118="AIE",IF(L118="L",5,IF(L118="A",7,10)),
                    IF(B118="SE",IF(L118="L",4,IF(L118="A",5,7)),
                       IF(OR(B118="EE",B118="CE"),IF(L118="L",3,IF(L118="A",4,6)),""))))))))),
   IF('Dados da OS'!$D$8=Parâmetros!$B$5,
      IF(OR(AND(B118="INM",N118&lt;&gt;"VF"),AND(N118="VF",B118&lt;&gt;"INM")),"",
         IF(B118="INM",IF(N118="VF",M118*H118,""),
            IF(B118="PE",4.6,
            IF(B118="AL",7,"")))),
   IF('Dados da OS'!$D$8=Parâmetros!$B$6,
      IF(B118="ALI",35,IF(B118="AIE",15,"")),""))
    )
)</f>
        <v/>
      </c>
      <c r="Q118" s="60" t="str">
        <f t="shared" si="13"/>
        <v/>
      </c>
      <c r="R118" s="61"/>
      <c r="S118" s="62"/>
      <c r="T118" s="80" t="s">
        <v>21</v>
      </c>
      <c r="U118" s="81"/>
      <c r="V118" s="99"/>
      <c r="W118" s="55"/>
      <c r="X118" s="55"/>
      <c r="Y118" s="56"/>
      <c r="Z118" s="55"/>
      <c r="AA118" s="56"/>
      <c r="AB118" s="55"/>
      <c r="AC118" s="57" t="str">
        <f t="shared" si="14"/>
        <v/>
      </c>
      <c r="AD118" s="57" t="str">
        <f t="shared" si="15"/>
        <v/>
      </c>
      <c r="AE118" s="57" t="str">
        <f xml:space="preserve">
IF(OR('Dados da OS'!$D$8=Parâmetros!$B$3,'Dados da OS'!$D$8=Parâmetros!$B$4),
  IF(OR(ISBLANK(X118),ISBLANK(Z118)),
     IF(OR(V118="ALI",V118="AIE"),"L",IF(ISBLANK(V118),"","A")),
     IF(V118="EE",IF(Z118&gt;=3,IF(X118&gt;=5,"H","A"),
     IF(Z118&gt;=2,IF(X118&gt;=16,"H",IF(X118&lt;=4,"L","A")),IF(X118&lt;=15,"L","A"))),
     IF(OR(V118="SE",V118="CE"),IF(Z118&gt;=4,IF(X118&gt;=6,"H","A"),IF(Z118&gt;=2,IF(X118&gt;=20,"H",IF(X118&lt;=5,"L","A")),IF(X118&lt;=19,"L","A"))),
     IF(OR(V118="ALI",V118="AIE"),IF(Z118&gt;=6,IF(X118&gt;=20,"H","A"),IF(Z118&gt;=2,IF(X118&gt;=51,"H",IF(X118&lt;=19,"L","A")),IF(X118&lt;=50,"L","A"))))))),
IF('Dados da OS'!$D$8=Parâmetros!$B$6,"Indicativa",
IF('Dados da OS'!$D$8=Parâmetros!$B$5,"PFS","")))</f>
        <v/>
      </c>
      <c r="AF118" s="57">
        <f>IFERROR(VLOOKUP(W118,'Fatores de Impacto e INMs'!$A$3:$D$32,3,0),1)</f>
        <v>1</v>
      </c>
      <c r="AG118" s="57">
        <f>IFERROR(VLOOKUP(W118,'Fatores de Impacto e INMs'!$A$3:$E$32,5,0),1)</f>
        <v>1</v>
      </c>
      <c r="AH118" s="82" t="str">
        <f xml:space="preserve">
IF(OR('Dados da OS'!$D$8="Selecione o tipo da contagem",ISBLANK('Dados da OS'!$D$8),V118="INM",V118="N/A",ISBLANK(V118),ISBLANK(W118),AG118="VF"),"-",
   IF('Dados da OS'!$D$8=Parâmetros!$B$3,
      IF(OR(ISBLANK(X118),ISBLANK(Z118)),"-",
         IF(AE118="L","Baixa",IF(AE118="A","Média",IF(AE118="H","Alta","-")))),
      IF('Dados da OS'!$D$8=Parâmetros!$B$4,
         IF(OR(V118="ALI",V118="AIE"),"Baixa",IF(OR(V118="EE",V118="SE",V118="CE"),"Média","-")),
         IF(OR('Dados da OS'!$D$8=Parâmetros!$B$5,'Dados da OS'!$D$8=Parâmetros!$B$6),"-"))))</f>
        <v>-</v>
      </c>
      <c r="AI118" s="83" t="str">
        <f xml:space="preserve">
IF(OR(ISBLANK(V118),ISBLANK(U118),ISBLANK(W118),V118="N/A",ISBLANK('Dados da OS'!$D$8)),"",
   IF(OR('Dados da OS'!$D$8=Parâmetros!$B$3,'Dados da OS'!$D$8=Parâmetros!$B$4),
      IF(OR(AND(V118="INM",AG118&lt;&gt;"VF"),AND(AG118="VF",V118&lt;&gt;"INM")),"",
        IF(AND(V118="INM",AG118="VF"),IF(ISBLANK(AB118),"",AF118*AB118),
        IF('Dados da OS'!$D$8=Parâmetros!$B$4,
           IF(OR(V118="CE",V118="EE"),4,IF(V118="SE",5,IF(V118="ALI",7,IF(V118="AIE",5,"")))),
        IF('Dados da OS'!$D$8=Parâmetros!$B$3,
           IF(OR(ISBLANK(X118),ISBLANK(Z118)),"",
              IF(V118="ALI",IF(AE118="L",7,IF(AE118="A",10,15)),
                 IF(V118="AIE",IF(AE118="L",5,IF(AE118="A",7,10)),
                    IF(V118="SE",IF(AE118="L",4,IF(AE118="A",5,7)),
                       IF(OR(V118="EE",V118="CE"),IF(AE118="L",3,IF(AE118="A",4,6)),""))))))))),
   IF('Dados da OS'!$D$8=Parâmetros!$B$5,
      IF(OR(AND(V118="INM",AG118&lt;&gt;"VF"),AND(AG118="VF",V118&lt;&gt;"INM")),"",
         IF(V118="INM",IF(AG118="VF",AF118*AB118,""),
            IF(V118="PE",4.6,
            IF(V118="AL",7,"")))),
   IF('Dados da OS'!$D$8=Parâmetros!$B$6,
      IF(V118="ALI",35,IF(V118="AIE",15,"")),""))
    )
)</f>
        <v/>
      </c>
      <c r="AJ118" s="82" t="str">
        <f t="shared" si="16"/>
        <v/>
      </c>
      <c r="AK118" s="84"/>
      <c r="AL118" s="85" t="s">
        <v>21</v>
      </c>
      <c r="AM118" s="86"/>
      <c r="AN118" s="85"/>
      <c r="AO118" s="87"/>
      <c r="AP118" s="85"/>
      <c r="AQ118" s="86"/>
      <c r="AR118" s="85"/>
    </row>
    <row r="119" spans="1:44" ht="15.75" customHeight="1">
      <c r="A119" s="54"/>
      <c r="B119" s="100"/>
      <c r="C119" s="55"/>
      <c r="D119" s="55"/>
      <c r="E119" s="56"/>
      <c r="F119" s="55"/>
      <c r="G119" s="56"/>
      <c r="H119" s="55"/>
      <c r="I119" s="64"/>
      <c r="J119" s="57" t="str">
        <f t="shared" si="17"/>
        <v/>
      </c>
      <c r="K119" s="57" t="str">
        <f t="shared" si="18"/>
        <v/>
      </c>
      <c r="L119" s="57" t="str">
        <f xml:space="preserve">
IF(OR('Dados da OS'!$D$8=Parâmetros!$B$3,'Dados da OS'!$D$8=Parâmetros!$B$4),
  IF(OR(ISBLANK(D119),ISBLANK(F119)),
     IF(OR(B119="ALI",B119="AIE"),"L",IF(ISBLANK(B119),"","A")),
     IF(B119="EE",IF(F119&gt;=3,IF(D119&gt;=5,"H","A"),
     IF(F119&gt;=2,IF(D119&gt;=16,"H",IF(D119&lt;=4,"L","A")),IF(D119&lt;=15,"L","A"))),
     IF(OR(B119="SE",B119="CE"),IF(F119&gt;=4,IF(D119&gt;=6,"H","A"),IF(F119&gt;=2,IF(D119&gt;=20,"H",IF(D119&lt;=5,"L","A")),IF(D119&lt;=19,"L","A"))),
     IF(OR(B119="ALI",B119="AIE"),IF(F119&gt;=6,IF(D119&gt;=20,"H","A"),IF(F119&gt;=2,IF(D119&gt;=51,"H",IF(D119&lt;=19,"L","A")),IF(D119&lt;=50,"L","A"))))))),
IF('Dados da OS'!$D$8=Parâmetros!$B$6,"Indicativa",
IF('Dados da OS'!$D$8=Parâmetros!$B$5,"PFS","")))</f>
        <v/>
      </c>
      <c r="M119" s="57">
        <f>IFERROR(VLOOKUP(C119,'Fatores de Impacto e INMs'!$A$3:$D$32,3,0),1)</f>
        <v>1</v>
      </c>
      <c r="N119" s="57">
        <f>IFERROR(VLOOKUP(C119,'Fatores de Impacto e INMs'!$A$3:$E$32,5,0),1)</f>
        <v>1</v>
      </c>
      <c r="O119" s="63" t="str">
        <f xml:space="preserve">
IF(OR('Dados da OS'!$D$8="Selecione o tipo da contagem",ISBLANK('Dados da OS'!$D$8),B119="INM",B119="N/A",ISBLANK(B119),ISBLANK(C119),N119="VF"),"-",
   IF('Dados da OS'!$D$8=Parâmetros!$B$3,
      IF(OR(ISBLANK(D119),ISBLANK(F119)),"-",
         IF(L119="L","Baixa",IF(L119="A","Média",IF(L119="H","Alta","-")))),
      IF('Dados da OS'!$D$8=Parâmetros!$B$4,
         IF(OR(B119="ALI",B119="AIE"),"Baixa",IF(OR(B119="EE",B119="SE",B119="CE"),"Média","-")),
         IF(OR('Dados da OS'!$D$8=Parâmetros!$B$5,'Dados da OS'!$D$8=Parâmetros!$B$6),"-"))))</f>
        <v>-</v>
      </c>
      <c r="P119" s="59" t="str">
        <f xml:space="preserve">
IF(OR(ISBLANK(B119),ISBLANK(C119),B119="N/A",ISBLANK('Dados da OS'!$D$8)),"",
   IF(OR('Dados da OS'!$D$8=Parâmetros!$B$3,'Dados da OS'!$D$8=Parâmetros!$B$4),
      IF(OR(AND(B119="INM",N119&lt;&gt;"VF"),AND(N119="VF",B119&lt;&gt;"INM")),"",
        IF(AND(B119="INM",N119="VF"),IF(ISBLANK(H119),"",M119*H119),
        IF('Dados da OS'!$D$8=Parâmetros!$B$4,
           IF(OR(B119="CE",B119="EE"),4,IF(B119="SE",5,IF(B119="ALI",7,IF(B119="AIE",5,"")))),
        IF('Dados da OS'!$D$8=Parâmetros!$B$3,
           IF(OR(ISBLANK(D119),ISBLANK(F119)),"",
              IF(B119="ALI",IF(L119="L",7,IF(L119="A",10,15)),
                 IF(B119="AIE",IF(L119="L",5,IF(L119="A",7,10)),
                    IF(B119="SE",IF(L119="L",4,IF(L119="A",5,7)),
                       IF(OR(B119="EE",B119="CE"),IF(L119="L",3,IF(L119="A",4,6)),""))))))))),
   IF('Dados da OS'!$D$8=Parâmetros!$B$5,
      IF(OR(AND(B119="INM",N119&lt;&gt;"VF"),AND(N119="VF",B119&lt;&gt;"INM")),"",
         IF(B119="INM",IF(N119="VF",M119*H119,""),
            IF(B119="PE",4.6,
            IF(B119="AL",7,"")))),
   IF('Dados da OS'!$D$8=Parâmetros!$B$6,
      IF(B119="ALI",35,IF(B119="AIE",15,"")),""))
    )
)</f>
        <v/>
      </c>
      <c r="Q119" s="60" t="str">
        <f t="shared" si="13"/>
        <v/>
      </c>
      <c r="R119" s="61"/>
      <c r="S119" s="62"/>
      <c r="T119" s="80" t="s">
        <v>21</v>
      </c>
      <c r="U119" s="81"/>
      <c r="V119" s="99"/>
      <c r="W119" s="55"/>
      <c r="X119" s="55"/>
      <c r="Y119" s="56"/>
      <c r="Z119" s="55"/>
      <c r="AA119" s="56"/>
      <c r="AB119" s="55"/>
      <c r="AC119" s="57" t="str">
        <f t="shared" si="14"/>
        <v/>
      </c>
      <c r="AD119" s="57" t="str">
        <f t="shared" si="15"/>
        <v/>
      </c>
      <c r="AE119" s="57" t="str">
        <f xml:space="preserve">
IF(OR('Dados da OS'!$D$8=Parâmetros!$B$3,'Dados da OS'!$D$8=Parâmetros!$B$4),
  IF(OR(ISBLANK(X119),ISBLANK(Z119)),
     IF(OR(V119="ALI",V119="AIE"),"L",IF(ISBLANK(V119),"","A")),
     IF(V119="EE",IF(Z119&gt;=3,IF(X119&gt;=5,"H","A"),
     IF(Z119&gt;=2,IF(X119&gt;=16,"H",IF(X119&lt;=4,"L","A")),IF(X119&lt;=15,"L","A"))),
     IF(OR(V119="SE",V119="CE"),IF(Z119&gt;=4,IF(X119&gt;=6,"H","A"),IF(Z119&gt;=2,IF(X119&gt;=20,"H",IF(X119&lt;=5,"L","A")),IF(X119&lt;=19,"L","A"))),
     IF(OR(V119="ALI",V119="AIE"),IF(Z119&gt;=6,IF(X119&gt;=20,"H","A"),IF(Z119&gt;=2,IF(X119&gt;=51,"H",IF(X119&lt;=19,"L","A")),IF(X119&lt;=50,"L","A"))))))),
IF('Dados da OS'!$D$8=Parâmetros!$B$6,"Indicativa",
IF('Dados da OS'!$D$8=Parâmetros!$B$5,"PFS","")))</f>
        <v/>
      </c>
      <c r="AF119" s="57">
        <f>IFERROR(VLOOKUP(W119,'Fatores de Impacto e INMs'!$A$3:$D$32,3,0),1)</f>
        <v>1</v>
      </c>
      <c r="AG119" s="57">
        <f>IFERROR(VLOOKUP(W119,'Fatores de Impacto e INMs'!$A$3:$E$32,5,0),1)</f>
        <v>1</v>
      </c>
      <c r="AH119" s="82" t="str">
        <f xml:space="preserve">
IF(OR('Dados da OS'!$D$8="Selecione o tipo da contagem",ISBLANK('Dados da OS'!$D$8),V119="INM",V119="N/A",ISBLANK(V119),ISBLANK(W119),AG119="VF"),"-",
   IF('Dados da OS'!$D$8=Parâmetros!$B$3,
      IF(OR(ISBLANK(X119),ISBLANK(Z119)),"-",
         IF(AE119="L","Baixa",IF(AE119="A","Média",IF(AE119="H","Alta","-")))),
      IF('Dados da OS'!$D$8=Parâmetros!$B$4,
         IF(OR(V119="ALI",V119="AIE"),"Baixa",IF(OR(V119="EE",V119="SE",V119="CE"),"Média","-")),
         IF(OR('Dados da OS'!$D$8=Parâmetros!$B$5,'Dados da OS'!$D$8=Parâmetros!$B$6),"-"))))</f>
        <v>-</v>
      </c>
      <c r="AI119" s="83" t="str">
        <f xml:space="preserve">
IF(OR(ISBLANK(V119),ISBLANK(U119),ISBLANK(W119),V119="N/A",ISBLANK('Dados da OS'!$D$8)),"",
   IF(OR('Dados da OS'!$D$8=Parâmetros!$B$3,'Dados da OS'!$D$8=Parâmetros!$B$4),
      IF(OR(AND(V119="INM",AG119&lt;&gt;"VF"),AND(AG119="VF",V119&lt;&gt;"INM")),"",
        IF(AND(V119="INM",AG119="VF"),IF(ISBLANK(AB119),"",AF119*AB119),
        IF('Dados da OS'!$D$8=Parâmetros!$B$4,
           IF(OR(V119="CE",V119="EE"),4,IF(V119="SE",5,IF(V119="ALI",7,IF(V119="AIE",5,"")))),
        IF('Dados da OS'!$D$8=Parâmetros!$B$3,
           IF(OR(ISBLANK(X119),ISBLANK(Z119)),"",
              IF(V119="ALI",IF(AE119="L",7,IF(AE119="A",10,15)),
                 IF(V119="AIE",IF(AE119="L",5,IF(AE119="A",7,10)),
                    IF(V119="SE",IF(AE119="L",4,IF(AE119="A",5,7)),
                       IF(OR(V119="EE",V119="CE"),IF(AE119="L",3,IF(AE119="A",4,6)),""))))))))),
   IF('Dados da OS'!$D$8=Parâmetros!$B$5,
      IF(OR(AND(V119="INM",AG119&lt;&gt;"VF"),AND(AG119="VF",V119&lt;&gt;"INM")),"",
         IF(V119="INM",IF(AG119="VF",AF119*AB119,""),
            IF(V119="PE",4.6,
            IF(V119="AL",7,"")))),
   IF('Dados da OS'!$D$8=Parâmetros!$B$6,
      IF(V119="ALI",35,IF(V119="AIE",15,"")),""))
    )
)</f>
        <v/>
      </c>
      <c r="AJ119" s="82" t="str">
        <f t="shared" si="16"/>
        <v/>
      </c>
      <c r="AK119" s="84"/>
      <c r="AL119" s="85" t="s">
        <v>21</v>
      </c>
      <c r="AM119" s="86"/>
      <c r="AN119" s="85"/>
      <c r="AO119" s="87"/>
      <c r="AP119" s="85"/>
      <c r="AQ119" s="86"/>
      <c r="AR119" s="85"/>
    </row>
    <row r="120" spans="1:44" ht="15.75" customHeight="1">
      <c r="A120" s="54"/>
      <c r="B120" s="100"/>
      <c r="C120" s="55"/>
      <c r="D120" s="55"/>
      <c r="E120" s="56"/>
      <c r="F120" s="55"/>
      <c r="G120" s="56"/>
      <c r="H120" s="55"/>
      <c r="I120" s="64"/>
      <c r="J120" s="57" t="str">
        <f t="shared" si="17"/>
        <v/>
      </c>
      <c r="K120" s="57" t="str">
        <f t="shared" si="18"/>
        <v/>
      </c>
      <c r="L120" s="57" t="str">
        <f xml:space="preserve">
IF(OR('Dados da OS'!$D$8=Parâmetros!$B$3,'Dados da OS'!$D$8=Parâmetros!$B$4),
  IF(OR(ISBLANK(D120),ISBLANK(F120)),
     IF(OR(B120="ALI",B120="AIE"),"L",IF(ISBLANK(B120),"","A")),
     IF(B120="EE",IF(F120&gt;=3,IF(D120&gt;=5,"H","A"),
     IF(F120&gt;=2,IF(D120&gt;=16,"H",IF(D120&lt;=4,"L","A")),IF(D120&lt;=15,"L","A"))),
     IF(OR(B120="SE",B120="CE"),IF(F120&gt;=4,IF(D120&gt;=6,"H","A"),IF(F120&gt;=2,IF(D120&gt;=20,"H",IF(D120&lt;=5,"L","A")),IF(D120&lt;=19,"L","A"))),
     IF(OR(B120="ALI",B120="AIE"),IF(F120&gt;=6,IF(D120&gt;=20,"H","A"),IF(F120&gt;=2,IF(D120&gt;=51,"H",IF(D120&lt;=19,"L","A")),IF(D120&lt;=50,"L","A"))))))),
IF('Dados da OS'!$D$8=Parâmetros!$B$6,"Indicativa",
IF('Dados da OS'!$D$8=Parâmetros!$B$5,"PFS","")))</f>
        <v/>
      </c>
      <c r="M120" s="57">
        <f>IFERROR(VLOOKUP(C120,'Fatores de Impacto e INMs'!$A$3:$D$32,3,0),1)</f>
        <v>1</v>
      </c>
      <c r="N120" s="57">
        <f>IFERROR(VLOOKUP(C120,'Fatores de Impacto e INMs'!$A$3:$E$32,5,0),1)</f>
        <v>1</v>
      </c>
      <c r="O120" s="63" t="str">
        <f xml:space="preserve">
IF(OR('Dados da OS'!$D$8="Selecione o tipo da contagem",ISBLANK('Dados da OS'!$D$8),B120="INM",B120="N/A",ISBLANK(B120),ISBLANK(C120),N120="VF"),"-",
   IF('Dados da OS'!$D$8=Parâmetros!$B$3,
      IF(OR(ISBLANK(D120),ISBLANK(F120)),"-",
         IF(L120="L","Baixa",IF(L120="A","Média",IF(L120="H","Alta","-")))),
      IF('Dados da OS'!$D$8=Parâmetros!$B$4,
         IF(OR(B120="ALI",B120="AIE"),"Baixa",IF(OR(B120="EE",B120="SE",B120="CE"),"Média","-")),
         IF(OR('Dados da OS'!$D$8=Parâmetros!$B$5,'Dados da OS'!$D$8=Parâmetros!$B$6),"-"))))</f>
        <v>-</v>
      </c>
      <c r="P120" s="59" t="str">
        <f xml:space="preserve">
IF(OR(ISBLANK(B120),ISBLANK(C120),B120="N/A",ISBLANK('Dados da OS'!$D$8)),"",
   IF(OR('Dados da OS'!$D$8=Parâmetros!$B$3,'Dados da OS'!$D$8=Parâmetros!$B$4),
      IF(OR(AND(B120="INM",N120&lt;&gt;"VF"),AND(N120="VF",B120&lt;&gt;"INM")),"",
        IF(AND(B120="INM",N120="VF"),IF(ISBLANK(H120),"",M120*H120),
        IF('Dados da OS'!$D$8=Parâmetros!$B$4,
           IF(OR(B120="CE",B120="EE"),4,IF(B120="SE",5,IF(B120="ALI",7,IF(B120="AIE",5,"")))),
        IF('Dados da OS'!$D$8=Parâmetros!$B$3,
           IF(OR(ISBLANK(D120),ISBLANK(F120)),"",
              IF(B120="ALI",IF(L120="L",7,IF(L120="A",10,15)),
                 IF(B120="AIE",IF(L120="L",5,IF(L120="A",7,10)),
                    IF(B120="SE",IF(L120="L",4,IF(L120="A",5,7)),
                       IF(OR(B120="EE",B120="CE"),IF(L120="L",3,IF(L120="A",4,6)),""))))))))),
   IF('Dados da OS'!$D$8=Parâmetros!$B$5,
      IF(OR(AND(B120="INM",N120&lt;&gt;"VF"),AND(N120="VF",B120&lt;&gt;"INM")),"",
         IF(B120="INM",IF(N120="VF",M120*H120,""),
            IF(B120="PE",4.6,
            IF(B120="AL",7,"")))),
   IF('Dados da OS'!$D$8=Parâmetros!$B$6,
      IF(B120="ALI",35,IF(B120="AIE",15,"")),""))
    )
)</f>
        <v/>
      </c>
      <c r="Q120" s="60" t="str">
        <f t="shared" si="13"/>
        <v/>
      </c>
      <c r="R120" s="61"/>
      <c r="S120" s="62"/>
      <c r="T120" s="80" t="s">
        <v>21</v>
      </c>
      <c r="U120" s="81"/>
      <c r="V120" s="99"/>
      <c r="W120" s="55"/>
      <c r="X120" s="55"/>
      <c r="Y120" s="56"/>
      <c r="Z120" s="55"/>
      <c r="AA120" s="56"/>
      <c r="AB120" s="55"/>
      <c r="AC120" s="57" t="str">
        <f t="shared" si="14"/>
        <v/>
      </c>
      <c r="AD120" s="57" t="str">
        <f t="shared" si="15"/>
        <v/>
      </c>
      <c r="AE120" s="57" t="str">
        <f xml:space="preserve">
IF(OR('Dados da OS'!$D$8=Parâmetros!$B$3,'Dados da OS'!$D$8=Parâmetros!$B$4),
  IF(OR(ISBLANK(X120),ISBLANK(Z120)),
     IF(OR(V120="ALI",V120="AIE"),"L",IF(ISBLANK(V120),"","A")),
     IF(V120="EE",IF(Z120&gt;=3,IF(X120&gt;=5,"H","A"),
     IF(Z120&gt;=2,IF(X120&gt;=16,"H",IF(X120&lt;=4,"L","A")),IF(X120&lt;=15,"L","A"))),
     IF(OR(V120="SE",V120="CE"),IF(Z120&gt;=4,IF(X120&gt;=6,"H","A"),IF(Z120&gt;=2,IF(X120&gt;=20,"H",IF(X120&lt;=5,"L","A")),IF(X120&lt;=19,"L","A"))),
     IF(OR(V120="ALI",V120="AIE"),IF(Z120&gt;=6,IF(X120&gt;=20,"H","A"),IF(Z120&gt;=2,IF(X120&gt;=51,"H",IF(X120&lt;=19,"L","A")),IF(X120&lt;=50,"L","A"))))))),
IF('Dados da OS'!$D$8=Parâmetros!$B$6,"Indicativa",
IF('Dados da OS'!$D$8=Parâmetros!$B$5,"PFS","")))</f>
        <v/>
      </c>
      <c r="AF120" s="57">
        <f>IFERROR(VLOOKUP(W120,'Fatores de Impacto e INMs'!$A$3:$D$32,3,0),1)</f>
        <v>1</v>
      </c>
      <c r="AG120" s="57">
        <f>IFERROR(VLOOKUP(W120,'Fatores de Impacto e INMs'!$A$3:$E$32,5,0),1)</f>
        <v>1</v>
      </c>
      <c r="AH120" s="82" t="str">
        <f xml:space="preserve">
IF(OR('Dados da OS'!$D$8="Selecione o tipo da contagem",ISBLANK('Dados da OS'!$D$8),V120="INM",V120="N/A",ISBLANK(V120),ISBLANK(W120),AG120="VF"),"-",
   IF('Dados da OS'!$D$8=Parâmetros!$B$3,
      IF(OR(ISBLANK(X120),ISBLANK(Z120)),"-",
         IF(AE120="L","Baixa",IF(AE120="A","Média",IF(AE120="H","Alta","-")))),
      IF('Dados da OS'!$D$8=Parâmetros!$B$4,
         IF(OR(V120="ALI",V120="AIE"),"Baixa",IF(OR(V120="EE",V120="SE",V120="CE"),"Média","-")),
         IF(OR('Dados da OS'!$D$8=Parâmetros!$B$5,'Dados da OS'!$D$8=Parâmetros!$B$6),"-"))))</f>
        <v>-</v>
      </c>
      <c r="AI120" s="83" t="str">
        <f xml:space="preserve">
IF(OR(ISBLANK(V120),ISBLANK(U120),ISBLANK(W120),V120="N/A",ISBLANK('Dados da OS'!$D$8)),"",
   IF(OR('Dados da OS'!$D$8=Parâmetros!$B$3,'Dados da OS'!$D$8=Parâmetros!$B$4),
      IF(OR(AND(V120="INM",AG120&lt;&gt;"VF"),AND(AG120="VF",V120&lt;&gt;"INM")),"",
        IF(AND(V120="INM",AG120="VF"),IF(ISBLANK(AB120),"",AF120*AB120),
        IF('Dados da OS'!$D$8=Parâmetros!$B$4,
           IF(OR(V120="CE",V120="EE"),4,IF(V120="SE",5,IF(V120="ALI",7,IF(V120="AIE",5,"")))),
        IF('Dados da OS'!$D$8=Parâmetros!$B$3,
           IF(OR(ISBLANK(X120),ISBLANK(Z120)),"",
              IF(V120="ALI",IF(AE120="L",7,IF(AE120="A",10,15)),
                 IF(V120="AIE",IF(AE120="L",5,IF(AE120="A",7,10)),
                    IF(V120="SE",IF(AE120="L",4,IF(AE120="A",5,7)),
                       IF(OR(V120="EE",V120="CE"),IF(AE120="L",3,IF(AE120="A",4,6)),""))))))))),
   IF('Dados da OS'!$D$8=Parâmetros!$B$5,
      IF(OR(AND(V120="INM",AG120&lt;&gt;"VF"),AND(AG120="VF",V120&lt;&gt;"INM")),"",
         IF(V120="INM",IF(AG120="VF",AF120*AB120,""),
            IF(V120="PE",4.6,
            IF(V120="AL",7,"")))),
   IF('Dados da OS'!$D$8=Parâmetros!$B$6,
      IF(V120="ALI",35,IF(V120="AIE",15,"")),""))
    )
)</f>
        <v/>
      </c>
      <c r="AJ120" s="82" t="str">
        <f t="shared" si="16"/>
        <v/>
      </c>
      <c r="AK120" s="84"/>
      <c r="AL120" s="85" t="s">
        <v>21</v>
      </c>
      <c r="AM120" s="86"/>
      <c r="AN120" s="85"/>
      <c r="AO120" s="87"/>
      <c r="AP120" s="85"/>
      <c r="AQ120" s="86"/>
      <c r="AR120" s="85"/>
    </row>
    <row r="121" spans="1:44" ht="15.75" customHeight="1">
      <c r="A121" s="54"/>
      <c r="B121" s="100"/>
      <c r="C121" s="55"/>
      <c r="D121" s="55"/>
      <c r="E121" s="56"/>
      <c r="F121" s="55"/>
      <c r="G121" s="56"/>
      <c r="H121" s="55"/>
      <c r="I121" s="64"/>
      <c r="J121" s="57" t="str">
        <f t="shared" si="17"/>
        <v/>
      </c>
      <c r="K121" s="57" t="str">
        <f t="shared" si="18"/>
        <v/>
      </c>
      <c r="L121" s="57" t="str">
        <f xml:space="preserve">
IF(OR('Dados da OS'!$D$8=Parâmetros!$B$3,'Dados da OS'!$D$8=Parâmetros!$B$4),
  IF(OR(ISBLANK(D121),ISBLANK(F121)),
     IF(OR(B121="ALI",B121="AIE"),"L",IF(ISBLANK(B121),"","A")),
     IF(B121="EE",IF(F121&gt;=3,IF(D121&gt;=5,"H","A"),
     IF(F121&gt;=2,IF(D121&gt;=16,"H",IF(D121&lt;=4,"L","A")),IF(D121&lt;=15,"L","A"))),
     IF(OR(B121="SE",B121="CE"),IF(F121&gt;=4,IF(D121&gt;=6,"H","A"),IF(F121&gt;=2,IF(D121&gt;=20,"H",IF(D121&lt;=5,"L","A")),IF(D121&lt;=19,"L","A"))),
     IF(OR(B121="ALI",B121="AIE"),IF(F121&gt;=6,IF(D121&gt;=20,"H","A"),IF(F121&gt;=2,IF(D121&gt;=51,"H",IF(D121&lt;=19,"L","A")),IF(D121&lt;=50,"L","A"))))))),
IF('Dados da OS'!$D$8=Parâmetros!$B$6,"Indicativa",
IF('Dados da OS'!$D$8=Parâmetros!$B$5,"PFS","")))</f>
        <v/>
      </c>
      <c r="M121" s="57">
        <f>IFERROR(VLOOKUP(C121,'Fatores de Impacto e INMs'!$A$3:$D$32,3,0),1)</f>
        <v>1</v>
      </c>
      <c r="N121" s="57">
        <f>IFERROR(VLOOKUP(C121,'Fatores de Impacto e INMs'!$A$3:$E$32,5,0),1)</f>
        <v>1</v>
      </c>
      <c r="O121" s="63" t="str">
        <f xml:space="preserve">
IF(OR('Dados da OS'!$D$8="Selecione o tipo da contagem",ISBLANK('Dados da OS'!$D$8),B121="INM",B121="N/A",ISBLANK(B121),ISBLANK(C121),N121="VF"),"-",
   IF('Dados da OS'!$D$8=Parâmetros!$B$3,
      IF(OR(ISBLANK(D121),ISBLANK(F121)),"-",
         IF(L121="L","Baixa",IF(L121="A","Média",IF(L121="H","Alta","-")))),
      IF('Dados da OS'!$D$8=Parâmetros!$B$4,
         IF(OR(B121="ALI",B121="AIE"),"Baixa",IF(OR(B121="EE",B121="SE",B121="CE"),"Média","-")),
         IF(OR('Dados da OS'!$D$8=Parâmetros!$B$5,'Dados da OS'!$D$8=Parâmetros!$B$6),"-"))))</f>
        <v>-</v>
      </c>
      <c r="P121" s="59" t="str">
        <f xml:space="preserve">
IF(OR(ISBLANK(B121),ISBLANK(C121),B121="N/A",ISBLANK('Dados da OS'!$D$8)),"",
   IF(OR('Dados da OS'!$D$8=Parâmetros!$B$3,'Dados da OS'!$D$8=Parâmetros!$B$4),
      IF(OR(AND(B121="INM",N121&lt;&gt;"VF"),AND(N121="VF",B121&lt;&gt;"INM")),"",
        IF(AND(B121="INM",N121="VF"),IF(ISBLANK(H121),"",M121*H121),
        IF('Dados da OS'!$D$8=Parâmetros!$B$4,
           IF(OR(B121="CE",B121="EE"),4,IF(B121="SE",5,IF(B121="ALI",7,IF(B121="AIE",5,"")))),
        IF('Dados da OS'!$D$8=Parâmetros!$B$3,
           IF(OR(ISBLANK(D121),ISBLANK(F121)),"",
              IF(B121="ALI",IF(L121="L",7,IF(L121="A",10,15)),
                 IF(B121="AIE",IF(L121="L",5,IF(L121="A",7,10)),
                    IF(B121="SE",IF(L121="L",4,IF(L121="A",5,7)),
                       IF(OR(B121="EE",B121="CE"),IF(L121="L",3,IF(L121="A",4,6)),""))))))))),
   IF('Dados da OS'!$D$8=Parâmetros!$B$5,
      IF(OR(AND(B121="INM",N121&lt;&gt;"VF"),AND(N121="VF",B121&lt;&gt;"INM")),"",
         IF(B121="INM",IF(N121="VF",M121*H121,""),
            IF(B121="PE",4.6,
            IF(B121="AL",7,"")))),
   IF('Dados da OS'!$D$8=Parâmetros!$B$6,
      IF(B121="ALI",35,IF(B121="AIE",15,"")),""))
    )
)</f>
        <v/>
      </c>
      <c r="Q121" s="60" t="str">
        <f t="shared" si="13"/>
        <v/>
      </c>
      <c r="R121" s="61"/>
      <c r="S121" s="62"/>
      <c r="T121" s="80" t="s">
        <v>21</v>
      </c>
      <c r="U121" s="81"/>
      <c r="V121" s="99"/>
      <c r="W121" s="55"/>
      <c r="X121" s="55"/>
      <c r="Y121" s="56"/>
      <c r="Z121" s="55"/>
      <c r="AA121" s="56"/>
      <c r="AB121" s="55"/>
      <c r="AC121" s="57" t="str">
        <f t="shared" si="14"/>
        <v/>
      </c>
      <c r="AD121" s="57" t="str">
        <f t="shared" si="15"/>
        <v/>
      </c>
      <c r="AE121" s="57" t="str">
        <f xml:space="preserve">
IF(OR('Dados da OS'!$D$8=Parâmetros!$B$3,'Dados da OS'!$D$8=Parâmetros!$B$4),
  IF(OR(ISBLANK(X121),ISBLANK(Z121)),
     IF(OR(V121="ALI",V121="AIE"),"L",IF(ISBLANK(V121),"","A")),
     IF(V121="EE",IF(Z121&gt;=3,IF(X121&gt;=5,"H","A"),
     IF(Z121&gt;=2,IF(X121&gt;=16,"H",IF(X121&lt;=4,"L","A")),IF(X121&lt;=15,"L","A"))),
     IF(OR(V121="SE",V121="CE"),IF(Z121&gt;=4,IF(X121&gt;=6,"H","A"),IF(Z121&gt;=2,IF(X121&gt;=20,"H",IF(X121&lt;=5,"L","A")),IF(X121&lt;=19,"L","A"))),
     IF(OR(V121="ALI",V121="AIE"),IF(Z121&gt;=6,IF(X121&gt;=20,"H","A"),IF(Z121&gt;=2,IF(X121&gt;=51,"H",IF(X121&lt;=19,"L","A")),IF(X121&lt;=50,"L","A"))))))),
IF('Dados da OS'!$D$8=Parâmetros!$B$6,"Indicativa",
IF('Dados da OS'!$D$8=Parâmetros!$B$5,"PFS","")))</f>
        <v/>
      </c>
      <c r="AF121" s="57">
        <f>IFERROR(VLOOKUP(W121,'Fatores de Impacto e INMs'!$A$3:$D$32,3,0),1)</f>
        <v>1</v>
      </c>
      <c r="AG121" s="57">
        <f>IFERROR(VLOOKUP(W121,'Fatores de Impacto e INMs'!$A$3:$E$32,5,0),1)</f>
        <v>1</v>
      </c>
      <c r="AH121" s="82" t="str">
        <f xml:space="preserve">
IF(OR('Dados da OS'!$D$8="Selecione o tipo da contagem",ISBLANK('Dados da OS'!$D$8),V121="INM",V121="N/A",ISBLANK(V121),ISBLANK(W121),AG121="VF"),"-",
   IF('Dados da OS'!$D$8=Parâmetros!$B$3,
      IF(OR(ISBLANK(X121),ISBLANK(Z121)),"-",
         IF(AE121="L","Baixa",IF(AE121="A","Média",IF(AE121="H","Alta","-")))),
      IF('Dados da OS'!$D$8=Parâmetros!$B$4,
         IF(OR(V121="ALI",V121="AIE"),"Baixa",IF(OR(V121="EE",V121="SE",V121="CE"),"Média","-")),
         IF(OR('Dados da OS'!$D$8=Parâmetros!$B$5,'Dados da OS'!$D$8=Parâmetros!$B$6),"-"))))</f>
        <v>-</v>
      </c>
      <c r="AI121" s="83" t="str">
        <f xml:space="preserve">
IF(OR(ISBLANK(V121),ISBLANK(U121),ISBLANK(W121),V121="N/A",ISBLANK('Dados da OS'!$D$8)),"",
   IF(OR('Dados da OS'!$D$8=Parâmetros!$B$3,'Dados da OS'!$D$8=Parâmetros!$B$4),
      IF(OR(AND(V121="INM",AG121&lt;&gt;"VF"),AND(AG121="VF",V121&lt;&gt;"INM")),"",
        IF(AND(V121="INM",AG121="VF"),IF(ISBLANK(AB121),"",AF121*AB121),
        IF('Dados da OS'!$D$8=Parâmetros!$B$4,
           IF(OR(V121="CE",V121="EE"),4,IF(V121="SE",5,IF(V121="ALI",7,IF(V121="AIE",5,"")))),
        IF('Dados da OS'!$D$8=Parâmetros!$B$3,
           IF(OR(ISBLANK(X121),ISBLANK(Z121)),"",
              IF(V121="ALI",IF(AE121="L",7,IF(AE121="A",10,15)),
                 IF(V121="AIE",IF(AE121="L",5,IF(AE121="A",7,10)),
                    IF(V121="SE",IF(AE121="L",4,IF(AE121="A",5,7)),
                       IF(OR(V121="EE",V121="CE"),IF(AE121="L",3,IF(AE121="A",4,6)),""))))))))),
   IF('Dados da OS'!$D$8=Parâmetros!$B$5,
      IF(OR(AND(V121="INM",AG121&lt;&gt;"VF"),AND(AG121="VF",V121&lt;&gt;"INM")),"",
         IF(V121="INM",IF(AG121="VF",AF121*AB121,""),
            IF(V121="PE",4.6,
            IF(V121="AL",7,"")))),
   IF('Dados da OS'!$D$8=Parâmetros!$B$6,
      IF(V121="ALI",35,IF(V121="AIE",15,"")),""))
    )
)</f>
        <v/>
      </c>
      <c r="AJ121" s="82" t="str">
        <f t="shared" si="16"/>
        <v/>
      </c>
      <c r="AK121" s="84"/>
      <c r="AL121" s="85" t="s">
        <v>21</v>
      </c>
      <c r="AM121" s="86"/>
      <c r="AN121" s="85"/>
      <c r="AO121" s="87"/>
      <c r="AP121" s="85"/>
      <c r="AQ121" s="86"/>
      <c r="AR121" s="85"/>
    </row>
    <row r="122" spans="1:44" ht="15.75" customHeight="1">
      <c r="A122" s="54"/>
      <c r="B122" s="100"/>
      <c r="C122" s="55"/>
      <c r="D122" s="55"/>
      <c r="E122" s="56"/>
      <c r="F122" s="55"/>
      <c r="G122" s="56"/>
      <c r="H122" s="55"/>
      <c r="I122" s="64"/>
      <c r="J122" s="57" t="str">
        <f t="shared" si="17"/>
        <v/>
      </c>
      <c r="K122" s="57" t="str">
        <f t="shared" si="18"/>
        <v/>
      </c>
      <c r="L122" s="57" t="str">
        <f xml:space="preserve">
IF(OR('Dados da OS'!$D$8=Parâmetros!$B$3,'Dados da OS'!$D$8=Parâmetros!$B$4),
  IF(OR(ISBLANK(D122),ISBLANK(F122)),
     IF(OR(B122="ALI",B122="AIE"),"L",IF(ISBLANK(B122),"","A")),
     IF(B122="EE",IF(F122&gt;=3,IF(D122&gt;=5,"H","A"),
     IF(F122&gt;=2,IF(D122&gt;=16,"H",IF(D122&lt;=4,"L","A")),IF(D122&lt;=15,"L","A"))),
     IF(OR(B122="SE",B122="CE"),IF(F122&gt;=4,IF(D122&gt;=6,"H","A"),IF(F122&gt;=2,IF(D122&gt;=20,"H",IF(D122&lt;=5,"L","A")),IF(D122&lt;=19,"L","A"))),
     IF(OR(B122="ALI",B122="AIE"),IF(F122&gt;=6,IF(D122&gt;=20,"H","A"),IF(F122&gt;=2,IF(D122&gt;=51,"H",IF(D122&lt;=19,"L","A")),IF(D122&lt;=50,"L","A"))))))),
IF('Dados da OS'!$D$8=Parâmetros!$B$6,"Indicativa",
IF('Dados da OS'!$D$8=Parâmetros!$B$5,"PFS","")))</f>
        <v/>
      </c>
      <c r="M122" s="57">
        <f>IFERROR(VLOOKUP(C122,'Fatores de Impacto e INMs'!$A$3:$D$32,3,0),1)</f>
        <v>1</v>
      </c>
      <c r="N122" s="57">
        <f>IFERROR(VLOOKUP(C122,'Fatores de Impacto e INMs'!$A$3:$E$32,5,0),1)</f>
        <v>1</v>
      </c>
      <c r="O122" s="63" t="str">
        <f xml:space="preserve">
IF(OR('Dados da OS'!$D$8="Selecione o tipo da contagem",ISBLANK('Dados da OS'!$D$8),B122="INM",B122="N/A",ISBLANK(B122),ISBLANK(C122),N122="VF"),"-",
   IF('Dados da OS'!$D$8=Parâmetros!$B$3,
      IF(OR(ISBLANK(D122),ISBLANK(F122)),"-",
         IF(L122="L","Baixa",IF(L122="A","Média",IF(L122="H","Alta","-")))),
      IF('Dados da OS'!$D$8=Parâmetros!$B$4,
         IF(OR(B122="ALI",B122="AIE"),"Baixa",IF(OR(B122="EE",B122="SE",B122="CE"),"Média","-")),
         IF(OR('Dados da OS'!$D$8=Parâmetros!$B$5,'Dados da OS'!$D$8=Parâmetros!$B$6),"-"))))</f>
        <v>-</v>
      </c>
      <c r="P122" s="59" t="str">
        <f xml:space="preserve">
IF(OR(ISBLANK(B122),ISBLANK(C122),B122="N/A",ISBLANK('Dados da OS'!$D$8)),"",
   IF(OR('Dados da OS'!$D$8=Parâmetros!$B$3,'Dados da OS'!$D$8=Parâmetros!$B$4),
      IF(OR(AND(B122="INM",N122&lt;&gt;"VF"),AND(N122="VF",B122&lt;&gt;"INM")),"",
        IF(AND(B122="INM",N122="VF"),IF(ISBLANK(H122),"",M122*H122),
        IF('Dados da OS'!$D$8=Parâmetros!$B$4,
           IF(OR(B122="CE",B122="EE"),4,IF(B122="SE",5,IF(B122="ALI",7,IF(B122="AIE",5,"")))),
        IF('Dados da OS'!$D$8=Parâmetros!$B$3,
           IF(OR(ISBLANK(D122),ISBLANK(F122)),"",
              IF(B122="ALI",IF(L122="L",7,IF(L122="A",10,15)),
                 IF(B122="AIE",IF(L122="L",5,IF(L122="A",7,10)),
                    IF(B122="SE",IF(L122="L",4,IF(L122="A",5,7)),
                       IF(OR(B122="EE",B122="CE"),IF(L122="L",3,IF(L122="A",4,6)),""))))))))),
   IF('Dados da OS'!$D$8=Parâmetros!$B$5,
      IF(OR(AND(B122="INM",N122&lt;&gt;"VF"),AND(N122="VF",B122&lt;&gt;"INM")),"",
         IF(B122="INM",IF(N122="VF",M122*H122,""),
            IF(B122="PE",4.6,
            IF(B122="AL",7,"")))),
   IF('Dados da OS'!$D$8=Parâmetros!$B$6,
      IF(B122="ALI",35,IF(B122="AIE",15,"")),""))
    )
)</f>
        <v/>
      </c>
      <c r="Q122" s="60" t="str">
        <f t="shared" si="13"/>
        <v/>
      </c>
      <c r="R122" s="61"/>
      <c r="S122" s="62"/>
      <c r="T122" s="80" t="s">
        <v>21</v>
      </c>
      <c r="U122" s="81"/>
      <c r="V122" s="99"/>
      <c r="W122" s="55"/>
      <c r="X122" s="55"/>
      <c r="Y122" s="56"/>
      <c r="Z122" s="55"/>
      <c r="AA122" s="56"/>
      <c r="AB122" s="55"/>
      <c r="AC122" s="57" t="str">
        <f t="shared" si="14"/>
        <v/>
      </c>
      <c r="AD122" s="57" t="str">
        <f t="shared" si="15"/>
        <v/>
      </c>
      <c r="AE122" s="57" t="str">
        <f xml:space="preserve">
IF(OR('Dados da OS'!$D$8=Parâmetros!$B$3,'Dados da OS'!$D$8=Parâmetros!$B$4),
  IF(OR(ISBLANK(X122),ISBLANK(Z122)),
     IF(OR(V122="ALI",V122="AIE"),"L",IF(ISBLANK(V122),"","A")),
     IF(V122="EE",IF(Z122&gt;=3,IF(X122&gt;=5,"H","A"),
     IF(Z122&gt;=2,IF(X122&gt;=16,"H",IF(X122&lt;=4,"L","A")),IF(X122&lt;=15,"L","A"))),
     IF(OR(V122="SE",V122="CE"),IF(Z122&gt;=4,IF(X122&gt;=6,"H","A"),IF(Z122&gt;=2,IF(X122&gt;=20,"H",IF(X122&lt;=5,"L","A")),IF(X122&lt;=19,"L","A"))),
     IF(OR(V122="ALI",V122="AIE"),IF(Z122&gt;=6,IF(X122&gt;=20,"H","A"),IF(Z122&gt;=2,IF(X122&gt;=51,"H",IF(X122&lt;=19,"L","A")),IF(X122&lt;=50,"L","A"))))))),
IF('Dados da OS'!$D$8=Parâmetros!$B$6,"Indicativa",
IF('Dados da OS'!$D$8=Parâmetros!$B$5,"PFS","")))</f>
        <v/>
      </c>
      <c r="AF122" s="57">
        <f>IFERROR(VLOOKUP(W122,'Fatores de Impacto e INMs'!$A$3:$D$32,3,0),1)</f>
        <v>1</v>
      </c>
      <c r="AG122" s="57">
        <f>IFERROR(VLOOKUP(W122,'Fatores de Impacto e INMs'!$A$3:$E$32,5,0),1)</f>
        <v>1</v>
      </c>
      <c r="AH122" s="82" t="str">
        <f xml:space="preserve">
IF(OR('Dados da OS'!$D$8="Selecione o tipo da contagem",ISBLANK('Dados da OS'!$D$8),V122="INM",V122="N/A",ISBLANK(V122),ISBLANK(W122),AG122="VF"),"-",
   IF('Dados da OS'!$D$8=Parâmetros!$B$3,
      IF(OR(ISBLANK(X122),ISBLANK(Z122)),"-",
         IF(AE122="L","Baixa",IF(AE122="A","Média",IF(AE122="H","Alta","-")))),
      IF('Dados da OS'!$D$8=Parâmetros!$B$4,
         IF(OR(V122="ALI",V122="AIE"),"Baixa",IF(OR(V122="EE",V122="SE",V122="CE"),"Média","-")),
         IF(OR('Dados da OS'!$D$8=Parâmetros!$B$5,'Dados da OS'!$D$8=Parâmetros!$B$6),"-"))))</f>
        <v>-</v>
      </c>
      <c r="AI122" s="83" t="str">
        <f xml:space="preserve">
IF(OR(ISBLANK(V122),ISBLANK(U122),ISBLANK(W122),V122="N/A",ISBLANK('Dados da OS'!$D$8)),"",
   IF(OR('Dados da OS'!$D$8=Parâmetros!$B$3,'Dados da OS'!$D$8=Parâmetros!$B$4),
      IF(OR(AND(V122="INM",AG122&lt;&gt;"VF"),AND(AG122="VF",V122&lt;&gt;"INM")),"",
        IF(AND(V122="INM",AG122="VF"),IF(ISBLANK(AB122),"",AF122*AB122),
        IF('Dados da OS'!$D$8=Parâmetros!$B$4,
           IF(OR(V122="CE",V122="EE"),4,IF(V122="SE",5,IF(V122="ALI",7,IF(V122="AIE",5,"")))),
        IF('Dados da OS'!$D$8=Parâmetros!$B$3,
           IF(OR(ISBLANK(X122),ISBLANK(Z122)),"",
              IF(V122="ALI",IF(AE122="L",7,IF(AE122="A",10,15)),
                 IF(V122="AIE",IF(AE122="L",5,IF(AE122="A",7,10)),
                    IF(V122="SE",IF(AE122="L",4,IF(AE122="A",5,7)),
                       IF(OR(V122="EE",V122="CE"),IF(AE122="L",3,IF(AE122="A",4,6)),""))))))))),
   IF('Dados da OS'!$D$8=Parâmetros!$B$5,
      IF(OR(AND(V122="INM",AG122&lt;&gt;"VF"),AND(AG122="VF",V122&lt;&gt;"INM")),"",
         IF(V122="INM",IF(AG122="VF",AF122*AB122,""),
            IF(V122="PE",4.6,
            IF(V122="AL",7,"")))),
   IF('Dados da OS'!$D$8=Parâmetros!$B$6,
      IF(V122="ALI",35,IF(V122="AIE",15,"")),""))
    )
)</f>
        <v/>
      </c>
      <c r="AJ122" s="82" t="str">
        <f t="shared" si="16"/>
        <v/>
      </c>
      <c r="AK122" s="84"/>
      <c r="AL122" s="85" t="s">
        <v>21</v>
      </c>
      <c r="AM122" s="86"/>
      <c r="AN122" s="85"/>
      <c r="AO122" s="87"/>
      <c r="AP122" s="85"/>
      <c r="AQ122" s="86"/>
      <c r="AR122" s="85"/>
    </row>
    <row r="123" spans="1:44" ht="15.75" customHeight="1">
      <c r="A123" s="54"/>
      <c r="B123" s="100"/>
      <c r="C123" s="55"/>
      <c r="D123" s="55"/>
      <c r="E123" s="56"/>
      <c r="F123" s="55"/>
      <c r="G123" s="56"/>
      <c r="H123" s="55"/>
      <c r="I123" s="64"/>
      <c r="J123" s="57" t="str">
        <f t="shared" si="17"/>
        <v/>
      </c>
      <c r="K123" s="57" t="str">
        <f t="shared" si="18"/>
        <v/>
      </c>
      <c r="L123" s="57" t="str">
        <f xml:space="preserve">
IF(OR('Dados da OS'!$D$8=Parâmetros!$B$3,'Dados da OS'!$D$8=Parâmetros!$B$4),
  IF(OR(ISBLANK(D123),ISBLANK(F123)),
     IF(OR(B123="ALI",B123="AIE"),"L",IF(ISBLANK(B123),"","A")),
     IF(B123="EE",IF(F123&gt;=3,IF(D123&gt;=5,"H","A"),
     IF(F123&gt;=2,IF(D123&gt;=16,"H",IF(D123&lt;=4,"L","A")),IF(D123&lt;=15,"L","A"))),
     IF(OR(B123="SE",B123="CE"),IF(F123&gt;=4,IF(D123&gt;=6,"H","A"),IF(F123&gt;=2,IF(D123&gt;=20,"H",IF(D123&lt;=5,"L","A")),IF(D123&lt;=19,"L","A"))),
     IF(OR(B123="ALI",B123="AIE"),IF(F123&gt;=6,IF(D123&gt;=20,"H","A"),IF(F123&gt;=2,IF(D123&gt;=51,"H",IF(D123&lt;=19,"L","A")),IF(D123&lt;=50,"L","A"))))))),
IF('Dados da OS'!$D$8=Parâmetros!$B$6,"Indicativa",
IF('Dados da OS'!$D$8=Parâmetros!$B$5,"PFS","")))</f>
        <v/>
      </c>
      <c r="M123" s="57">
        <f>IFERROR(VLOOKUP(C123,'Fatores de Impacto e INMs'!$A$3:$D$32,3,0),1)</f>
        <v>1</v>
      </c>
      <c r="N123" s="57">
        <f>IFERROR(VLOOKUP(C123,'Fatores de Impacto e INMs'!$A$3:$E$32,5,0),1)</f>
        <v>1</v>
      </c>
      <c r="O123" s="63" t="str">
        <f xml:space="preserve">
IF(OR('Dados da OS'!$D$8="Selecione o tipo da contagem",ISBLANK('Dados da OS'!$D$8),B123="INM",B123="N/A",ISBLANK(B123),ISBLANK(C123),N123="VF"),"-",
   IF('Dados da OS'!$D$8=Parâmetros!$B$3,
      IF(OR(ISBLANK(D123),ISBLANK(F123)),"-",
         IF(L123="L","Baixa",IF(L123="A","Média",IF(L123="H","Alta","-")))),
      IF('Dados da OS'!$D$8=Parâmetros!$B$4,
         IF(OR(B123="ALI",B123="AIE"),"Baixa",IF(OR(B123="EE",B123="SE",B123="CE"),"Média","-")),
         IF(OR('Dados da OS'!$D$8=Parâmetros!$B$5,'Dados da OS'!$D$8=Parâmetros!$B$6),"-"))))</f>
        <v>-</v>
      </c>
      <c r="P123" s="59" t="str">
        <f xml:space="preserve">
IF(OR(ISBLANK(B123),ISBLANK(C123),B123="N/A",ISBLANK('Dados da OS'!$D$8)),"",
   IF(OR('Dados da OS'!$D$8=Parâmetros!$B$3,'Dados da OS'!$D$8=Parâmetros!$B$4),
      IF(OR(AND(B123="INM",N123&lt;&gt;"VF"),AND(N123="VF",B123&lt;&gt;"INM")),"",
        IF(AND(B123="INM",N123="VF"),IF(ISBLANK(H123),"",M123*H123),
        IF('Dados da OS'!$D$8=Parâmetros!$B$4,
           IF(OR(B123="CE",B123="EE"),4,IF(B123="SE",5,IF(B123="ALI",7,IF(B123="AIE",5,"")))),
        IF('Dados da OS'!$D$8=Parâmetros!$B$3,
           IF(OR(ISBLANK(D123),ISBLANK(F123)),"",
              IF(B123="ALI",IF(L123="L",7,IF(L123="A",10,15)),
                 IF(B123="AIE",IF(L123="L",5,IF(L123="A",7,10)),
                    IF(B123="SE",IF(L123="L",4,IF(L123="A",5,7)),
                       IF(OR(B123="EE",B123="CE"),IF(L123="L",3,IF(L123="A",4,6)),""))))))))),
   IF('Dados da OS'!$D$8=Parâmetros!$B$5,
      IF(OR(AND(B123="INM",N123&lt;&gt;"VF"),AND(N123="VF",B123&lt;&gt;"INM")),"",
         IF(B123="INM",IF(N123="VF",M123*H123,""),
            IF(B123="PE",4.6,
            IF(B123="AL",7,"")))),
   IF('Dados da OS'!$D$8=Parâmetros!$B$6,
      IF(B123="ALI",35,IF(B123="AIE",15,"")),""))
    )
)</f>
        <v/>
      </c>
      <c r="Q123" s="60" t="str">
        <f t="shared" si="13"/>
        <v/>
      </c>
      <c r="R123" s="61"/>
      <c r="S123" s="62"/>
      <c r="T123" s="80" t="s">
        <v>21</v>
      </c>
      <c r="U123" s="81"/>
      <c r="V123" s="99"/>
      <c r="W123" s="55"/>
      <c r="X123" s="55"/>
      <c r="Y123" s="56"/>
      <c r="Z123" s="55"/>
      <c r="AA123" s="56"/>
      <c r="AB123" s="55"/>
      <c r="AC123" s="57" t="str">
        <f t="shared" si="14"/>
        <v/>
      </c>
      <c r="AD123" s="57" t="str">
        <f t="shared" si="15"/>
        <v/>
      </c>
      <c r="AE123" s="57" t="str">
        <f xml:space="preserve">
IF(OR('Dados da OS'!$D$8=Parâmetros!$B$3,'Dados da OS'!$D$8=Parâmetros!$B$4),
  IF(OR(ISBLANK(X123),ISBLANK(Z123)),
     IF(OR(V123="ALI",V123="AIE"),"L",IF(ISBLANK(V123),"","A")),
     IF(V123="EE",IF(Z123&gt;=3,IF(X123&gt;=5,"H","A"),
     IF(Z123&gt;=2,IF(X123&gt;=16,"H",IF(X123&lt;=4,"L","A")),IF(X123&lt;=15,"L","A"))),
     IF(OR(V123="SE",V123="CE"),IF(Z123&gt;=4,IF(X123&gt;=6,"H","A"),IF(Z123&gt;=2,IF(X123&gt;=20,"H",IF(X123&lt;=5,"L","A")),IF(X123&lt;=19,"L","A"))),
     IF(OR(V123="ALI",V123="AIE"),IF(Z123&gt;=6,IF(X123&gt;=20,"H","A"),IF(Z123&gt;=2,IF(X123&gt;=51,"H",IF(X123&lt;=19,"L","A")),IF(X123&lt;=50,"L","A"))))))),
IF('Dados da OS'!$D$8=Parâmetros!$B$6,"Indicativa",
IF('Dados da OS'!$D$8=Parâmetros!$B$5,"PFS","")))</f>
        <v/>
      </c>
      <c r="AF123" s="57">
        <f>IFERROR(VLOOKUP(W123,'Fatores de Impacto e INMs'!$A$3:$D$32,3,0),1)</f>
        <v>1</v>
      </c>
      <c r="AG123" s="57">
        <f>IFERROR(VLOOKUP(W123,'Fatores de Impacto e INMs'!$A$3:$E$32,5,0),1)</f>
        <v>1</v>
      </c>
      <c r="AH123" s="82" t="str">
        <f xml:space="preserve">
IF(OR('Dados da OS'!$D$8="Selecione o tipo da contagem",ISBLANK('Dados da OS'!$D$8),V123="INM",V123="N/A",ISBLANK(V123),ISBLANK(W123),AG123="VF"),"-",
   IF('Dados da OS'!$D$8=Parâmetros!$B$3,
      IF(OR(ISBLANK(X123),ISBLANK(Z123)),"-",
         IF(AE123="L","Baixa",IF(AE123="A","Média",IF(AE123="H","Alta","-")))),
      IF('Dados da OS'!$D$8=Parâmetros!$B$4,
         IF(OR(V123="ALI",V123="AIE"),"Baixa",IF(OR(V123="EE",V123="SE",V123="CE"),"Média","-")),
         IF(OR('Dados da OS'!$D$8=Parâmetros!$B$5,'Dados da OS'!$D$8=Parâmetros!$B$6),"-"))))</f>
        <v>-</v>
      </c>
      <c r="AI123" s="83" t="str">
        <f xml:space="preserve">
IF(OR(ISBLANK(V123),ISBLANK(U123),ISBLANK(W123),V123="N/A",ISBLANK('Dados da OS'!$D$8)),"",
   IF(OR('Dados da OS'!$D$8=Parâmetros!$B$3,'Dados da OS'!$D$8=Parâmetros!$B$4),
      IF(OR(AND(V123="INM",AG123&lt;&gt;"VF"),AND(AG123="VF",V123&lt;&gt;"INM")),"",
        IF(AND(V123="INM",AG123="VF"),IF(ISBLANK(AB123),"",AF123*AB123),
        IF('Dados da OS'!$D$8=Parâmetros!$B$4,
           IF(OR(V123="CE",V123="EE"),4,IF(V123="SE",5,IF(V123="ALI",7,IF(V123="AIE",5,"")))),
        IF('Dados da OS'!$D$8=Parâmetros!$B$3,
           IF(OR(ISBLANK(X123),ISBLANK(Z123)),"",
              IF(V123="ALI",IF(AE123="L",7,IF(AE123="A",10,15)),
                 IF(V123="AIE",IF(AE123="L",5,IF(AE123="A",7,10)),
                    IF(V123="SE",IF(AE123="L",4,IF(AE123="A",5,7)),
                       IF(OR(V123="EE",V123="CE"),IF(AE123="L",3,IF(AE123="A",4,6)),""))))))))),
   IF('Dados da OS'!$D$8=Parâmetros!$B$5,
      IF(OR(AND(V123="INM",AG123&lt;&gt;"VF"),AND(AG123="VF",V123&lt;&gt;"INM")),"",
         IF(V123="INM",IF(AG123="VF",AF123*AB123,""),
            IF(V123="PE",4.6,
            IF(V123="AL",7,"")))),
   IF('Dados da OS'!$D$8=Parâmetros!$B$6,
      IF(V123="ALI",35,IF(V123="AIE",15,"")),""))
    )
)</f>
        <v/>
      </c>
      <c r="AJ123" s="82" t="str">
        <f t="shared" si="16"/>
        <v/>
      </c>
      <c r="AK123" s="84"/>
      <c r="AL123" s="85" t="s">
        <v>21</v>
      </c>
      <c r="AM123" s="86"/>
      <c r="AN123" s="85"/>
      <c r="AO123" s="87"/>
      <c r="AP123" s="85"/>
      <c r="AQ123" s="86"/>
      <c r="AR123" s="85"/>
    </row>
    <row r="124" spans="1:44" ht="15.75" customHeight="1">
      <c r="A124" s="54"/>
      <c r="B124" s="100"/>
      <c r="C124" s="55"/>
      <c r="D124" s="55"/>
      <c r="E124" s="56"/>
      <c r="F124" s="55"/>
      <c r="G124" s="56"/>
      <c r="H124" s="55"/>
      <c r="I124" s="64"/>
      <c r="J124" s="57" t="str">
        <f t="shared" si="17"/>
        <v/>
      </c>
      <c r="K124" s="57" t="str">
        <f t="shared" si="18"/>
        <v/>
      </c>
      <c r="L124" s="57" t="str">
        <f xml:space="preserve">
IF(OR('Dados da OS'!$D$8=Parâmetros!$B$3,'Dados da OS'!$D$8=Parâmetros!$B$4),
  IF(OR(ISBLANK(D124),ISBLANK(F124)),
     IF(OR(B124="ALI",B124="AIE"),"L",IF(ISBLANK(B124),"","A")),
     IF(B124="EE",IF(F124&gt;=3,IF(D124&gt;=5,"H","A"),
     IF(F124&gt;=2,IF(D124&gt;=16,"H",IF(D124&lt;=4,"L","A")),IF(D124&lt;=15,"L","A"))),
     IF(OR(B124="SE",B124="CE"),IF(F124&gt;=4,IF(D124&gt;=6,"H","A"),IF(F124&gt;=2,IF(D124&gt;=20,"H",IF(D124&lt;=5,"L","A")),IF(D124&lt;=19,"L","A"))),
     IF(OR(B124="ALI",B124="AIE"),IF(F124&gt;=6,IF(D124&gt;=20,"H","A"),IF(F124&gt;=2,IF(D124&gt;=51,"H",IF(D124&lt;=19,"L","A")),IF(D124&lt;=50,"L","A"))))))),
IF('Dados da OS'!$D$8=Parâmetros!$B$6,"Indicativa",
IF('Dados da OS'!$D$8=Parâmetros!$B$5,"PFS","")))</f>
        <v/>
      </c>
      <c r="M124" s="57">
        <f>IFERROR(VLOOKUP(C124,'Fatores de Impacto e INMs'!$A$3:$D$32,3,0),1)</f>
        <v>1</v>
      </c>
      <c r="N124" s="57">
        <f>IFERROR(VLOOKUP(C124,'Fatores de Impacto e INMs'!$A$3:$E$32,5,0),1)</f>
        <v>1</v>
      </c>
      <c r="O124" s="63" t="str">
        <f xml:space="preserve">
IF(OR('Dados da OS'!$D$8="Selecione o tipo da contagem",ISBLANK('Dados da OS'!$D$8),B124="INM",B124="N/A",ISBLANK(B124),ISBLANK(C124),N124="VF"),"-",
   IF('Dados da OS'!$D$8=Parâmetros!$B$3,
      IF(OR(ISBLANK(D124),ISBLANK(F124)),"-",
         IF(L124="L","Baixa",IF(L124="A","Média",IF(L124="H","Alta","-")))),
      IF('Dados da OS'!$D$8=Parâmetros!$B$4,
         IF(OR(B124="ALI",B124="AIE"),"Baixa",IF(OR(B124="EE",B124="SE",B124="CE"),"Média","-")),
         IF(OR('Dados da OS'!$D$8=Parâmetros!$B$5,'Dados da OS'!$D$8=Parâmetros!$B$6),"-"))))</f>
        <v>-</v>
      </c>
      <c r="P124" s="59" t="str">
        <f xml:space="preserve">
IF(OR(ISBLANK(B124),ISBLANK(C124),B124="N/A",ISBLANK('Dados da OS'!$D$8)),"",
   IF(OR('Dados da OS'!$D$8=Parâmetros!$B$3,'Dados da OS'!$D$8=Parâmetros!$B$4),
      IF(OR(AND(B124="INM",N124&lt;&gt;"VF"),AND(N124="VF",B124&lt;&gt;"INM")),"",
        IF(AND(B124="INM",N124="VF"),IF(ISBLANK(H124),"",M124*H124),
        IF('Dados da OS'!$D$8=Parâmetros!$B$4,
           IF(OR(B124="CE",B124="EE"),4,IF(B124="SE",5,IF(B124="ALI",7,IF(B124="AIE",5,"")))),
        IF('Dados da OS'!$D$8=Parâmetros!$B$3,
           IF(OR(ISBLANK(D124),ISBLANK(F124)),"",
              IF(B124="ALI",IF(L124="L",7,IF(L124="A",10,15)),
                 IF(B124="AIE",IF(L124="L",5,IF(L124="A",7,10)),
                    IF(B124="SE",IF(L124="L",4,IF(L124="A",5,7)),
                       IF(OR(B124="EE",B124="CE"),IF(L124="L",3,IF(L124="A",4,6)),""))))))))),
   IF('Dados da OS'!$D$8=Parâmetros!$B$5,
      IF(OR(AND(B124="INM",N124&lt;&gt;"VF"),AND(N124="VF",B124&lt;&gt;"INM")),"",
         IF(B124="INM",IF(N124="VF",M124*H124,""),
            IF(B124="PE",4.6,
            IF(B124="AL",7,"")))),
   IF('Dados da OS'!$D$8=Parâmetros!$B$6,
      IF(B124="ALI",35,IF(B124="AIE",15,"")),""))
    )
)</f>
        <v/>
      </c>
      <c r="Q124" s="60" t="str">
        <f t="shared" si="13"/>
        <v/>
      </c>
      <c r="R124" s="61"/>
      <c r="S124" s="62"/>
      <c r="T124" s="80" t="s">
        <v>21</v>
      </c>
      <c r="U124" s="81"/>
      <c r="V124" s="99"/>
      <c r="W124" s="55"/>
      <c r="X124" s="55"/>
      <c r="Y124" s="56"/>
      <c r="Z124" s="55"/>
      <c r="AA124" s="56"/>
      <c r="AB124" s="55"/>
      <c r="AC124" s="57" t="str">
        <f t="shared" si="14"/>
        <v/>
      </c>
      <c r="AD124" s="57" t="str">
        <f t="shared" si="15"/>
        <v/>
      </c>
      <c r="AE124" s="57" t="str">
        <f xml:space="preserve">
IF(OR('Dados da OS'!$D$8=Parâmetros!$B$3,'Dados da OS'!$D$8=Parâmetros!$B$4),
  IF(OR(ISBLANK(X124),ISBLANK(Z124)),
     IF(OR(V124="ALI",V124="AIE"),"L",IF(ISBLANK(V124),"","A")),
     IF(V124="EE",IF(Z124&gt;=3,IF(X124&gt;=5,"H","A"),
     IF(Z124&gt;=2,IF(X124&gt;=16,"H",IF(X124&lt;=4,"L","A")),IF(X124&lt;=15,"L","A"))),
     IF(OR(V124="SE",V124="CE"),IF(Z124&gt;=4,IF(X124&gt;=6,"H","A"),IF(Z124&gt;=2,IF(X124&gt;=20,"H",IF(X124&lt;=5,"L","A")),IF(X124&lt;=19,"L","A"))),
     IF(OR(V124="ALI",V124="AIE"),IF(Z124&gt;=6,IF(X124&gt;=20,"H","A"),IF(Z124&gt;=2,IF(X124&gt;=51,"H",IF(X124&lt;=19,"L","A")),IF(X124&lt;=50,"L","A"))))))),
IF('Dados da OS'!$D$8=Parâmetros!$B$6,"Indicativa",
IF('Dados da OS'!$D$8=Parâmetros!$B$5,"PFS","")))</f>
        <v/>
      </c>
      <c r="AF124" s="57">
        <f>IFERROR(VLOOKUP(W124,'Fatores de Impacto e INMs'!$A$3:$D$32,3,0),1)</f>
        <v>1</v>
      </c>
      <c r="AG124" s="57">
        <f>IFERROR(VLOOKUP(W124,'Fatores de Impacto e INMs'!$A$3:$E$32,5,0),1)</f>
        <v>1</v>
      </c>
      <c r="AH124" s="82" t="str">
        <f xml:space="preserve">
IF(OR('Dados da OS'!$D$8="Selecione o tipo da contagem",ISBLANK('Dados da OS'!$D$8),V124="INM",V124="N/A",ISBLANK(V124),ISBLANK(W124),AG124="VF"),"-",
   IF('Dados da OS'!$D$8=Parâmetros!$B$3,
      IF(OR(ISBLANK(X124),ISBLANK(Z124)),"-",
         IF(AE124="L","Baixa",IF(AE124="A","Média",IF(AE124="H","Alta","-")))),
      IF('Dados da OS'!$D$8=Parâmetros!$B$4,
         IF(OR(V124="ALI",V124="AIE"),"Baixa",IF(OR(V124="EE",V124="SE",V124="CE"),"Média","-")),
         IF(OR('Dados da OS'!$D$8=Parâmetros!$B$5,'Dados da OS'!$D$8=Parâmetros!$B$6),"-"))))</f>
        <v>-</v>
      </c>
      <c r="AI124" s="83" t="str">
        <f xml:space="preserve">
IF(OR(ISBLANK(V124),ISBLANK(U124),ISBLANK(W124),V124="N/A",ISBLANK('Dados da OS'!$D$8)),"",
   IF(OR('Dados da OS'!$D$8=Parâmetros!$B$3,'Dados da OS'!$D$8=Parâmetros!$B$4),
      IF(OR(AND(V124="INM",AG124&lt;&gt;"VF"),AND(AG124="VF",V124&lt;&gt;"INM")),"",
        IF(AND(V124="INM",AG124="VF"),IF(ISBLANK(AB124),"",AF124*AB124),
        IF('Dados da OS'!$D$8=Parâmetros!$B$4,
           IF(OR(V124="CE",V124="EE"),4,IF(V124="SE",5,IF(V124="ALI",7,IF(V124="AIE",5,"")))),
        IF('Dados da OS'!$D$8=Parâmetros!$B$3,
           IF(OR(ISBLANK(X124),ISBLANK(Z124)),"",
              IF(V124="ALI",IF(AE124="L",7,IF(AE124="A",10,15)),
                 IF(V124="AIE",IF(AE124="L",5,IF(AE124="A",7,10)),
                    IF(V124="SE",IF(AE124="L",4,IF(AE124="A",5,7)),
                       IF(OR(V124="EE",V124="CE"),IF(AE124="L",3,IF(AE124="A",4,6)),""))))))))),
   IF('Dados da OS'!$D$8=Parâmetros!$B$5,
      IF(OR(AND(V124="INM",AG124&lt;&gt;"VF"),AND(AG124="VF",V124&lt;&gt;"INM")),"",
         IF(V124="INM",IF(AG124="VF",AF124*AB124,""),
            IF(V124="PE",4.6,
            IF(V124="AL",7,"")))),
   IF('Dados da OS'!$D$8=Parâmetros!$B$6,
      IF(V124="ALI",35,IF(V124="AIE",15,"")),""))
    )
)</f>
        <v/>
      </c>
      <c r="AJ124" s="82" t="str">
        <f t="shared" si="16"/>
        <v/>
      </c>
      <c r="AK124" s="84"/>
      <c r="AL124" s="85" t="s">
        <v>21</v>
      </c>
      <c r="AM124" s="86"/>
      <c r="AN124" s="85"/>
      <c r="AO124" s="87"/>
      <c r="AP124" s="85"/>
      <c r="AQ124" s="86"/>
      <c r="AR124" s="85"/>
    </row>
    <row r="125" spans="1:44" ht="15.75" customHeight="1">
      <c r="A125" s="54"/>
      <c r="B125" s="100"/>
      <c r="C125" s="55"/>
      <c r="D125" s="55"/>
      <c r="E125" s="56"/>
      <c r="F125" s="55"/>
      <c r="G125" s="56"/>
      <c r="H125" s="55"/>
      <c r="I125" s="64"/>
      <c r="J125" s="57" t="str">
        <f t="shared" si="17"/>
        <v/>
      </c>
      <c r="K125" s="57" t="str">
        <f t="shared" si="18"/>
        <v/>
      </c>
      <c r="L125" s="57" t="str">
        <f xml:space="preserve">
IF(OR('Dados da OS'!$D$8=Parâmetros!$B$3,'Dados da OS'!$D$8=Parâmetros!$B$4),
  IF(OR(ISBLANK(D125),ISBLANK(F125)),
     IF(OR(B125="ALI",B125="AIE"),"L",IF(ISBLANK(B125),"","A")),
     IF(B125="EE",IF(F125&gt;=3,IF(D125&gt;=5,"H","A"),
     IF(F125&gt;=2,IF(D125&gt;=16,"H",IF(D125&lt;=4,"L","A")),IF(D125&lt;=15,"L","A"))),
     IF(OR(B125="SE",B125="CE"),IF(F125&gt;=4,IF(D125&gt;=6,"H","A"),IF(F125&gt;=2,IF(D125&gt;=20,"H",IF(D125&lt;=5,"L","A")),IF(D125&lt;=19,"L","A"))),
     IF(OR(B125="ALI",B125="AIE"),IF(F125&gt;=6,IF(D125&gt;=20,"H","A"),IF(F125&gt;=2,IF(D125&gt;=51,"H",IF(D125&lt;=19,"L","A")),IF(D125&lt;=50,"L","A"))))))),
IF('Dados da OS'!$D$8=Parâmetros!$B$6,"Indicativa",
IF('Dados da OS'!$D$8=Parâmetros!$B$5,"PFS","")))</f>
        <v/>
      </c>
      <c r="M125" s="57">
        <f>IFERROR(VLOOKUP(C125,'Fatores de Impacto e INMs'!$A$3:$D$32,3,0),1)</f>
        <v>1</v>
      </c>
      <c r="N125" s="57">
        <f>IFERROR(VLOOKUP(C125,'Fatores de Impacto e INMs'!$A$3:$E$32,5,0),1)</f>
        <v>1</v>
      </c>
      <c r="O125" s="63" t="str">
        <f xml:space="preserve">
IF(OR('Dados da OS'!$D$8="Selecione o tipo da contagem",ISBLANK('Dados da OS'!$D$8),B125="INM",B125="N/A",ISBLANK(B125),ISBLANK(C125),N125="VF"),"-",
   IF('Dados da OS'!$D$8=Parâmetros!$B$3,
      IF(OR(ISBLANK(D125),ISBLANK(F125)),"-",
         IF(L125="L","Baixa",IF(L125="A","Média",IF(L125="H","Alta","-")))),
      IF('Dados da OS'!$D$8=Parâmetros!$B$4,
         IF(OR(B125="ALI",B125="AIE"),"Baixa",IF(OR(B125="EE",B125="SE",B125="CE"),"Média","-")),
         IF(OR('Dados da OS'!$D$8=Parâmetros!$B$5,'Dados da OS'!$D$8=Parâmetros!$B$6),"-"))))</f>
        <v>-</v>
      </c>
      <c r="P125" s="59" t="str">
        <f xml:space="preserve">
IF(OR(ISBLANK(B125),ISBLANK(C125),B125="N/A",ISBLANK('Dados da OS'!$D$8)),"",
   IF(OR('Dados da OS'!$D$8=Parâmetros!$B$3,'Dados da OS'!$D$8=Parâmetros!$B$4),
      IF(OR(AND(B125="INM",N125&lt;&gt;"VF"),AND(N125="VF",B125&lt;&gt;"INM")),"",
        IF(AND(B125="INM",N125="VF"),IF(ISBLANK(H125),"",M125*H125),
        IF('Dados da OS'!$D$8=Parâmetros!$B$4,
           IF(OR(B125="CE",B125="EE"),4,IF(B125="SE",5,IF(B125="ALI",7,IF(B125="AIE",5,"")))),
        IF('Dados da OS'!$D$8=Parâmetros!$B$3,
           IF(OR(ISBLANK(D125),ISBLANK(F125)),"",
              IF(B125="ALI",IF(L125="L",7,IF(L125="A",10,15)),
                 IF(B125="AIE",IF(L125="L",5,IF(L125="A",7,10)),
                    IF(B125="SE",IF(L125="L",4,IF(L125="A",5,7)),
                       IF(OR(B125="EE",B125="CE"),IF(L125="L",3,IF(L125="A",4,6)),""))))))))),
   IF('Dados da OS'!$D$8=Parâmetros!$B$5,
      IF(OR(AND(B125="INM",N125&lt;&gt;"VF"),AND(N125="VF",B125&lt;&gt;"INM")),"",
         IF(B125="INM",IF(N125="VF",M125*H125,""),
            IF(B125="PE",4.6,
            IF(B125="AL",7,"")))),
   IF('Dados da OS'!$D$8=Parâmetros!$B$6,
      IF(B125="ALI",35,IF(B125="AIE",15,"")),""))
    )
)</f>
        <v/>
      </c>
      <c r="Q125" s="60" t="str">
        <f t="shared" si="13"/>
        <v/>
      </c>
      <c r="R125" s="61"/>
      <c r="S125" s="62"/>
      <c r="T125" s="80" t="s">
        <v>21</v>
      </c>
      <c r="U125" s="81"/>
      <c r="V125" s="99"/>
      <c r="W125" s="55"/>
      <c r="X125" s="55"/>
      <c r="Y125" s="56"/>
      <c r="Z125" s="55"/>
      <c r="AA125" s="56"/>
      <c r="AB125" s="55"/>
      <c r="AC125" s="57" t="str">
        <f t="shared" si="14"/>
        <v/>
      </c>
      <c r="AD125" s="57" t="str">
        <f t="shared" si="15"/>
        <v/>
      </c>
      <c r="AE125" s="57" t="str">
        <f xml:space="preserve">
IF(OR('Dados da OS'!$D$8=Parâmetros!$B$3,'Dados da OS'!$D$8=Parâmetros!$B$4),
  IF(OR(ISBLANK(X125),ISBLANK(Z125)),
     IF(OR(V125="ALI",V125="AIE"),"L",IF(ISBLANK(V125),"","A")),
     IF(V125="EE",IF(Z125&gt;=3,IF(X125&gt;=5,"H","A"),
     IF(Z125&gt;=2,IF(X125&gt;=16,"H",IF(X125&lt;=4,"L","A")),IF(X125&lt;=15,"L","A"))),
     IF(OR(V125="SE",V125="CE"),IF(Z125&gt;=4,IF(X125&gt;=6,"H","A"),IF(Z125&gt;=2,IF(X125&gt;=20,"H",IF(X125&lt;=5,"L","A")),IF(X125&lt;=19,"L","A"))),
     IF(OR(V125="ALI",V125="AIE"),IF(Z125&gt;=6,IF(X125&gt;=20,"H","A"),IF(Z125&gt;=2,IF(X125&gt;=51,"H",IF(X125&lt;=19,"L","A")),IF(X125&lt;=50,"L","A"))))))),
IF('Dados da OS'!$D$8=Parâmetros!$B$6,"Indicativa",
IF('Dados da OS'!$D$8=Parâmetros!$B$5,"PFS","")))</f>
        <v/>
      </c>
      <c r="AF125" s="57">
        <f>IFERROR(VLOOKUP(W125,'Fatores de Impacto e INMs'!$A$3:$D$32,3,0),1)</f>
        <v>1</v>
      </c>
      <c r="AG125" s="57">
        <f>IFERROR(VLOOKUP(W125,'Fatores de Impacto e INMs'!$A$3:$E$32,5,0),1)</f>
        <v>1</v>
      </c>
      <c r="AH125" s="82" t="str">
        <f xml:space="preserve">
IF(OR('Dados da OS'!$D$8="Selecione o tipo da contagem",ISBLANK('Dados da OS'!$D$8),V125="INM",V125="N/A",ISBLANK(V125),ISBLANK(W125),AG125="VF"),"-",
   IF('Dados da OS'!$D$8=Parâmetros!$B$3,
      IF(OR(ISBLANK(X125),ISBLANK(Z125)),"-",
         IF(AE125="L","Baixa",IF(AE125="A","Média",IF(AE125="H","Alta","-")))),
      IF('Dados da OS'!$D$8=Parâmetros!$B$4,
         IF(OR(V125="ALI",V125="AIE"),"Baixa",IF(OR(V125="EE",V125="SE",V125="CE"),"Média","-")),
         IF(OR('Dados da OS'!$D$8=Parâmetros!$B$5,'Dados da OS'!$D$8=Parâmetros!$B$6),"-"))))</f>
        <v>-</v>
      </c>
      <c r="AI125" s="83" t="str">
        <f xml:space="preserve">
IF(OR(ISBLANK(V125),ISBLANK(U125),ISBLANK(W125),V125="N/A",ISBLANK('Dados da OS'!$D$8)),"",
   IF(OR('Dados da OS'!$D$8=Parâmetros!$B$3,'Dados da OS'!$D$8=Parâmetros!$B$4),
      IF(OR(AND(V125="INM",AG125&lt;&gt;"VF"),AND(AG125="VF",V125&lt;&gt;"INM")),"",
        IF(AND(V125="INM",AG125="VF"),IF(ISBLANK(AB125),"",AF125*AB125),
        IF('Dados da OS'!$D$8=Parâmetros!$B$4,
           IF(OR(V125="CE",V125="EE"),4,IF(V125="SE",5,IF(V125="ALI",7,IF(V125="AIE",5,"")))),
        IF('Dados da OS'!$D$8=Parâmetros!$B$3,
           IF(OR(ISBLANK(X125),ISBLANK(Z125)),"",
              IF(V125="ALI",IF(AE125="L",7,IF(AE125="A",10,15)),
                 IF(V125="AIE",IF(AE125="L",5,IF(AE125="A",7,10)),
                    IF(V125="SE",IF(AE125="L",4,IF(AE125="A",5,7)),
                       IF(OR(V125="EE",V125="CE"),IF(AE125="L",3,IF(AE125="A",4,6)),""))))))))),
   IF('Dados da OS'!$D$8=Parâmetros!$B$5,
      IF(OR(AND(V125="INM",AG125&lt;&gt;"VF"),AND(AG125="VF",V125&lt;&gt;"INM")),"",
         IF(V125="INM",IF(AG125="VF",AF125*AB125,""),
            IF(V125="PE",4.6,
            IF(V125="AL",7,"")))),
   IF('Dados da OS'!$D$8=Parâmetros!$B$6,
      IF(V125="ALI",35,IF(V125="AIE",15,"")),""))
    )
)</f>
        <v/>
      </c>
      <c r="AJ125" s="82" t="str">
        <f t="shared" si="16"/>
        <v/>
      </c>
      <c r="AK125" s="84"/>
      <c r="AL125" s="85" t="s">
        <v>21</v>
      </c>
      <c r="AM125" s="86"/>
      <c r="AN125" s="85"/>
      <c r="AO125" s="87"/>
      <c r="AP125" s="85"/>
      <c r="AQ125" s="86"/>
      <c r="AR125" s="85"/>
    </row>
    <row r="126" spans="1:44" ht="15.75" customHeight="1">
      <c r="A126" s="54"/>
      <c r="B126" s="100"/>
      <c r="C126" s="55"/>
      <c r="D126" s="55"/>
      <c r="E126" s="56"/>
      <c r="F126" s="55"/>
      <c r="G126" s="56"/>
      <c r="H126" s="55"/>
      <c r="I126" s="64"/>
      <c r="J126" s="57" t="str">
        <f t="shared" si="17"/>
        <v/>
      </c>
      <c r="K126" s="57" t="str">
        <f t="shared" si="18"/>
        <v/>
      </c>
      <c r="L126" s="57" t="str">
        <f xml:space="preserve">
IF(OR('Dados da OS'!$D$8=Parâmetros!$B$3,'Dados da OS'!$D$8=Parâmetros!$B$4),
  IF(OR(ISBLANK(D126),ISBLANK(F126)),
     IF(OR(B126="ALI",B126="AIE"),"L",IF(ISBLANK(B126),"","A")),
     IF(B126="EE",IF(F126&gt;=3,IF(D126&gt;=5,"H","A"),
     IF(F126&gt;=2,IF(D126&gt;=16,"H",IF(D126&lt;=4,"L","A")),IF(D126&lt;=15,"L","A"))),
     IF(OR(B126="SE",B126="CE"),IF(F126&gt;=4,IF(D126&gt;=6,"H","A"),IF(F126&gt;=2,IF(D126&gt;=20,"H",IF(D126&lt;=5,"L","A")),IF(D126&lt;=19,"L","A"))),
     IF(OR(B126="ALI",B126="AIE"),IF(F126&gt;=6,IF(D126&gt;=20,"H","A"),IF(F126&gt;=2,IF(D126&gt;=51,"H",IF(D126&lt;=19,"L","A")),IF(D126&lt;=50,"L","A"))))))),
IF('Dados da OS'!$D$8=Parâmetros!$B$6,"Indicativa",
IF('Dados da OS'!$D$8=Parâmetros!$B$5,"PFS","")))</f>
        <v/>
      </c>
      <c r="M126" s="57">
        <f>IFERROR(VLOOKUP(C126,'Fatores de Impacto e INMs'!$A$3:$D$32,3,0),1)</f>
        <v>1</v>
      </c>
      <c r="N126" s="57">
        <f>IFERROR(VLOOKUP(C126,'Fatores de Impacto e INMs'!$A$3:$E$32,5,0),1)</f>
        <v>1</v>
      </c>
      <c r="O126" s="63" t="str">
        <f xml:space="preserve">
IF(OR('Dados da OS'!$D$8="Selecione o tipo da contagem",ISBLANK('Dados da OS'!$D$8),B126="INM",B126="N/A",ISBLANK(B126),ISBLANK(C126),N126="VF"),"-",
   IF('Dados da OS'!$D$8=Parâmetros!$B$3,
      IF(OR(ISBLANK(D126),ISBLANK(F126)),"-",
         IF(L126="L","Baixa",IF(L126="A","Média",IF(L126="H","Alta","-")))),
      IF('Dados da OS'!$D$8=Parâmetros!$B$4,
         IF(OR(B126="ALI",B126="AIE"),"Baixa",IF(OR(B126="EE",B126="SE",B126="CE"),"Média","-")),
         IF(OR('Dados da OS'!$D$8=Parâmetros!$B$5,'Dados da OS'!$D$8=Parâmetros!$B$6),"-"))))</f>
        <v>-</v>
      </c>
      <c r="P126" s="59" t="str">
        <f xml:space="preserve">
IF(OR(ISBLANK(B126),ISBLANK(C126),B126="N/A",ISBLANK('Dados da OS'!$D$8)),"",
   IF(OR('Dados da OS'!$D$8=Parâmetros!$B$3,'Dados da OS'!$D$8=Parâmetros!$B$4),
      IF(OR(AND(B126="INM",N126&lt;&gt;"VF"),AND(N126="VF",B126&lt;&gt;"INM")),"",
        IF(AND(B126="INM",N126="VF"),IF(ISBLANK(H126),"",M126*H126),
        IF('Dados da OS'!$D$8=Parâmetros!$B$4,
           IF(OR(B126="CE",B126="EE"),4,IF(B126="SE",5,IF(B126="ALI",7,IF(B126="AIE",5,"")))),
        IF('Dados da OS'!$D$8=Parâmetros!$B$3,
           IF(OR(ISBLANK(D126),ISBLANK(F126)),"",
              IF(B126="ALI",IF(L126="L",7,IF(L126="A",10,15)),
                 IF(B126="AIE",IF(L126="L",5,IF(L126="A",7,10)),
                    IF(B126="SE",IF(L126="L",4,IF(L126="A",5,7)),
                       IF(OR(B126="EE",B126="CE"),IF(L126="L",3,IF(L126="A",4,6)),""))))))))),
   IF('Dados da OS'!$D$8=Parâmetros!$B$5,
      IF(OR(AND(B126="INM",N126&lt;&gt;"VF"),AND(N126="VF",B126&lt;&gt;"INM")),"",
         IF(B126="INM",IF(N126="VF",M126*H126,""),
            IF(B126="PE",4.6,
            IF(B126="AL",7,"")))),
   IF('Dados da OS'!$D$8=Parâmetros!$B$6,
      IF(B126="ALI",35,IF(B126="AIE",15,"")),""))
    )
)</f>
        <v/>
      </c>
      <c r="Q126" s="60" t="str">
        <f t="shared" si="13"/>
        <v/>
      </c>
      <c r="R126" s="61"/>
      <c r="S126" s="62"/>
      <c r="T126" s="80" t="s">
        <v>21</v>
      </c>
      <c r="U126" s="81"/>
      <c r="V126" s="99"/>
      <c r="W126" s="55"/>
      <c r="X126" s="55"/>
      <c r="Y126" s="56"/>
      <c r="Z126" s="55"/>
      <c r="AA126" s="56"/>
      <c r="AB126" s="55"/>
      <c r="AC126" s="57" t="str">
        <f t="shared" si="14"/>
        <v/>
      </c>
      <c r="AD126" s="57" t="str">
        <f t="shared" si="15"/>
        <v/>
      </c>
      <c r="AE126" s="57" t="str">
        <f xml:space="preserve">
IF(OR('Dados da OS'!$D$8=Parâmetros!$B$3,'Dados da OS'!$D$8=Parâmetros!$B$4),
  IF(OR(ISBLANK(X126),ISBLANK(Z126)),
     IF(OR(V126="ALI",V126="AIE"),"L",IF(ISBLANK(V126),"","A")),
     IF(V126="EE",IF(Z126&gt;=3,IF(X126&gt;=5,"H","A"),
     IF(Z126&gt;=2,IF(X126&gt;=16,"H",IF(X126&lt;=4,"L","A")),IF(X126&lt;=15,"L","A"))),
     IF(OR(V126="SE",V126="CE"),IF(Z126&gt;=4,IF(X126&gt;=6,"H","A"),IF(Z126&gt;=2,IF(X126&gt;=20,"H",IF(X126&lt;=5,"L","A")),IF(X126&lt;=19,"L","A"))),
     IF(OR(V126="ALI",V126="AIE"),IF(Z126&gt;=6,IF(X126&gt;=20,"H","A"),IF(Z126&gt;=2,IF(X126&gt;=51,"H",IF(X126&lt;=19,"L","A")),IF(X126&lt;=50,"L","A"))))))),
IF('Dados da OS'!$D$8=Parâmetros!$B$6,"Indicativa",
IF('Dados da OS'!$D$8=Parâmetros!$B$5,"PFS","")))</f>
        <v/>
      </c>
      <c r="AF126" s="57">
        <f>IFERROR(VLOOKUP(W126,'Fatores de Impacto e INMs'!$A$3:$D$32,3,0),1)</f>
        <v>1</v>
      </c>
      <c r="AG126" s="57">
        <f>IFERROR(VLOOKUP(W126,'Fatores de Impacto e INMs'!$A$3:$E$32,5,0),1)</f>
        <v>1</v>
      </c>
      <c r="AH126" s="82" t="str">
        <f xml:space="preserve">
IF(OR('Dados da OS'!$D$8="Selecione o tipo da contagem",ISBLANK('Dados da OS'!$D$8),V126="INM",V126="N/A",ISBLANK(V126),ISBLANK(W126),AG126="VF"),"-",
   IF('Dados da OS'!$D$8=Parâmetros!$B$3,
      IF(OR(ISBLANK(X126),ISBLANK(Z126)),"-",
         IF(AE126="L","Baixa",IF(AE126="A","Média",IF(AE126="H","Alta","-")))),
      IF('Dados da OS'!$D$8=Parâmetros!$B$4,
         IF(OR(V126="ALI",V126="AIE"),"Baixa",IF(OR(V126="EE",V126="SE",V126="CE"),"Média","-")),
         IF(OR('Dados da OS'!$D$8=Parâmetros!$B$5,'Dados da OS'!$D$8=Parâmetros!$B$6),"-"))))</f>
        <v>-</v>
      </c>
      <c r="AI126" s="83" t="str">
        <f xml:space="preserve">
IF(OR(ISBLANK(V126),ISBLANK(U126),ISBLANK(W126),V126="N/A",ISBLANK('Dados da OS'!$D$8)),"",
   IF(OR('Dados da OS'!$D$8=Parâmetros!$B$3,'Dados da OS'!$D$8=Parâmetros!$B$4),
      IF(OR(AND(V126="INM",AG126&lt;&gt;"VF"),AND(AG126="VF",V126&lt;&gt;"INM")),"",
        IF(AND(V126="INM",AG126="VF"),IF(ISBLANK(AB126),"",AF126*AB126),
        IF('Dados da OS'!$D$8=Parâmetros!$B$4,
           IF(OR(V126="CE",V126="EE"),4,IF(V126="SE",5,IF(V126="ALI",7,IF(V126="AIE",5,"")))),
        IF('Dados da OS'!$D$8=Parâmetros!$B$3,
           IF(OR(ISBLANK(X126),ISBLANK(Z126)),"",
              IF(V126="ALI",IF(AE126="L",7,IF(AE126="A",10,15)),
                 IF(V126="AIE",IF(AE126="L",5,IF(AE126="A",7,10)),
                    IF(V126="SE",IF(AE126="L",4,IF(AE126="A",5,7)),
                       IF(OR(V126="EE",V126="CE"),IF(AE126="L",3,IF(AE126="A",4,6)),""))))))))),
   IF('Dados da OS'!$D$8=Parâmetros!$B$5,
      IF(OR(AND(V126="INM",AG126&lt;&gt;"VF"),AND(AG126="VF",V126&lt;&gt;"INM")),"",
         IF(V126="INM",IF(AG126="VF",AF126*AB126,""),
            IF(V126="PE",4.6,
            IF(V126="AL",7,"")))),
   IF('Dados da OS'!$D$8=Parâmetros!$B$6,
      IF(V126="ALI",35,IF(V126="AIE",15,"")),""))
    )
)</f>
        <v/>
      </c>
      <c r="AJ126" s="82" t="str">
        <f t="shared" si="16"/>
        <v/>
      </c>
      <c r="AK126" s="84"/>
      <c r="AL126" s="85" t="s">
        <v>21</v>
      </c>
      <c r="AM126" s="86"/>
      <c r="AN126" s="85"/>
      <c r="AO126" s="87"/>
      <c r="AP126" s="85"/>
      <c r="AQ126" s="86"/>
      <c r="AR126" s="85"/>
    </row>
    <row r="127" spans="1:44" ht="15.75" customHeight="1">
      <c r="A127" s="54"/>
      <c r="B127" s="100"/>
      <c r="C127" s="55"/>
      <c r="D127" s="55"/>
      <c r="E127" s="56"/>
      <c r="F127" s="55"/>
      <c r="G127" s="56"/>
      <c r="H127" s="55"/>
      <c r="I127" s="64"/>
      <c r="J127" s="57" t="str">
        <f t="shared" si="17"/>
        <v/>
      </c>
      <c r="K127" s="57" t="str">
        <f t="shared" si="18"/>
        <v/>
      </c>
      <c r="L127" s="57" t="str">
        <f xml:space="preserve">
IF(OR('Dados da OS'!$D$8=Parâmetros!$B$3,'Dados da OS'!$D$8=Parâmetros!$B$4),
  IF(OR(ISBLANK(D127),ISBLANK(F127)),
     IF(OR(B127="ALI",B127="AIE"),"L",IF(ISBLANK(B127),"","A")),
     IF(B127="EE",IF(F127&gt;=3,IF(D127&gt;=5,"H","A"),
     IF(F127&gt;=2,IF(D127&gt;=16,"H",IF(D127&lt;=4,"L","A")),IF(D127&lt;=15,"L","A"))),
     IF(OR(B127="SE",B127="CE"),IF(F127&gt;=4,IF(D127&gt;=6,"H","A"),IF(F127&gt;=2,IF(D127&gt;=20,"H",IF(D127&lt;=5,"L","A")),IF(D127&lt;=19,"L","A"))),
     IF(OR(B127="ALI",B127="AIE"),IF(F127&gt;=6,IF(D127&gt;=20,"H","A"),IF(F127&gt;=2,IF(D127&gt;=51,"H",IF(D127&lt;=19,"L","A")),IF(D127&lt;=50,"L","A"))))))),
IF('Dados da OS'!$D$8=Parâmetros!$B$6,"Indicativa",
IF('Dados da OS'!$D$8=Parâmetros!$B$5,"PFS","")))</f>
        <v/>
      </c>
      <c r="M127" s="57">
        <f>IFERROR(VLOOKUP(C127,'Fatores de Impacto e INMs'!$A$3:$D$32,3,0),1)</f>
        <v>1</v>
      </c>
      <c r="N127" s="57">
        <f>IFERROR(VLOOKUP(C127,'Fatores de Impacto e INMs'!$A$3:$E$32,5,0),1)</f>
        <v>1</v>
      </c>
      <c r="O127" s="63" t="str">
        <f xml:space="preserve">
IF(OR('Dados da OS'!$D$8="Selecione o tipo da contagem",ISBLANK('Dados da OS'!$D$8),B127="INM",B127="N/A",ISBLANK(B127),ISBLANK(C127),N127="VF"),"-",
   IF('Dados da OS'!$D$8=Parâmetros!$B$3,
      IF(OR(ISBLANK(D127),ISBLANK(F127)),"-",
         IF(L127="L","Baixa",IF(L127="A","Média",IF(L127="H","Alta","-")))),
      IF('Dados da OS'!$D$8=Parâmetros!$B$4,
         IF(OR(B127="ALI",B127="AIE"),"Baixa",IF(OR(B127="EE",B127="SE",B127="CE"),"Média","-")),
         IF(OR('Dados da OS'!$D$8=Parâmetros!$B$5,'Dados da OS'!$D$8=Parâmetros!$B$6),"-"))))</f>
        <v>-</v>
      </c>
      <c r="P127" s="59" t="str">
        <f xml:space="preserve">
IF(OR(ISBLANK(B127),ISBLANK(C127),B127="N/A",ISBLANK('Dados da OS'!$D$8)),"",
   IF(OR('Dados da OS'!$D$8=Parâmetros!$B$3,'Dados da OS'!$D$8=Parâmetros!$B$4),
      IF(OR(AND(B127="INM",N127&lt;&gt;"VF"),AND(N127="VF",B127&lt;&gt;"INM")),"",
        IF(AND(B127="INM",N127="VF"),IF(ISBLANK(H127),"",M127*H127),
        IF('Dados da OS'!$D$8=Parâmetros!$B$4,
           IF(OR(B127="CE",B127="EE"),4,IF(B127="SE",5,IF(B127="ALI",7,IF(B127="AIE",5,"")))),
        IF('Dados da OS'!$D$8=Parâmetros!$B$3,
           IF(OR(ISBLANK(D127),ISBLANK(F127)),"",
              IF(B127="ALI",IF(L127="L",7,IF(L127="A",10,15)),
                 IF(B127="AIE",IF(L127="L",5,IF(L127="A",7,10)),
                    IF(B127="SE",IF(L127="L",4,IF(L127="A",5,7)),
                       IF(OR(B127="EE",B127="CE"),IF(L127="L",3,IF(L127="A",4,6)),""))))))))),
   IF('Dados da OS'!$D$8=Parâmetros!$B$5,
      IF(OR(AND(B127="INM",N127&lt;&gt;"VF"),AND(N127="VF",B127&lt;&gt;"INM")),"",
         IF(B127="INM",IF(N127="VF",M127*H127,""),
            IF(B127="PE",4.6,
            IF(B127="AL",7,"")))),
   IF('Dados da OS'!$D$8=Parâmetros!$B$6,
      IF(B127="ALI",35,IF(B127="AIE",15,"")),""))
    )
)</f>
        <v/>
      </c>
      <c r="Q127" s="60" t="str">
        <f t="shared" si="13"/>
        <v/>
      </c>
      <c r="R127" s="61"/>
      <c r="S127" s="62"/>
      <c r="T127" s="80" t="s">
        <v>21</v>
      </c>
      <c r="U127" s="81"/>
      <c r="V127" s="99"/>
      <c r="W127" s="55"/>
      <c r="X127" s="55"/>
      <c r="Y127" s="56"/>
      <c r="Z127" s="55"/>
      <c r="AA127" s="56"/>
      <c r="AB127" s="55"/>
      <c r="AC127" s="57" t="str">
        <f t="shared" si="14"/>
        <v/>
      </c>
      <c r="AD127" s="57" t="str">
        <f t="shared" si="15"/>
        <v/>
      </c>
      <c r="AE127" s="57" t="str">
        <f xml:space="preserve">
IF(OR('Dados da OS'!$D$8=Parâmetros!$B$3,'Dados da OS'!$D$8=Parâmetros!$B$4),
  IF(OR(ISBLANK(X127),ISBLANK(Z127)),
     IF(OR(V127="ALI",V127="AIE"),"L",IF(ISBLANK(V127),"","A")),
     IF(V127="EE",IF(Z127&gt;=3,IF(X127&gt;=5,"H","A"),
     IF(Z127&gt;=2,IF(X127&gt;=16,"H",IF(X127&lt;=4,"L","A")),IF(X127&lt;=15,"L","A"))),
     IF(OR(V127="SE",V127="CE"),IF(Z127&gt;=4,IF(X127&gt;=6,"H","A"),IF(Z127&gt;=2,IF(X127&gt;=20,"H",IF(X127&lt;=5,"L","A")),IF(X127&lt;=19,"L","A"))),
     IF(OR(V127="ALI",V127="AIE"),IF(Z127&gt;=6,IF(X127&gt;=20,"H","A"),IF(Z127&gt;=2,IF(X127&gt;=51,"H",IF(X127&lt;=19,"L","A")),IF(X127&lt;=50,"L","A"))))))),
IF('Dados da OS'!$D$8=Parâmetros!$B$6,"Indicativa",
IF('Dados da OS'!$D$8=Parâmetros!$B$5,"PFS","")))</f>
        <v/>
      </c>
      <c r="AF127" s="57">
        <f>IFERROR(VLOOKUP(W127,'Fatores de Impacto e INMs'!$A$3:$D$32,3,0),1)</f>
        <v>1</v>
      </c>
      <c r="AG127" s="57">
        <f>IFERROR(VLOOKUP(W127,'Fatores de Impacto e INMs'!$A$3:$E$32,5,0),1)</f>
        <v>1</v>
      </c>
      <c r="AH127" s="82" t="str">
        <f xml:space="preserve">
IF(OR('Dados da OS'!$D$8="Selecione o tipo da contagem",ISBLANK('Dados da OS'!$D$8),V127="INM",V127="N/A",ISBLANK(V127),ISBLANK(W127),AG127="VF"),"-",
   IF('Dados da OS'!$D$8=Parâmetros!$B$3,
      IF(OR(ISBLANK(X127),ISBLANK(Z127)),"-",
         IF(AE127="L","Baixa",IF(AE127="A","Média",IF(AE127="H","Alta","-")))),
      IF('Dados da OS'!$D$8=Parâmetros!$B$4,
         IF(OR(V127="ALI",V127="AIE"),"Baixa",IF(OR(V127="EE",V127="SE",V127="CE"),"Média","-")),
         IF(OR('Dados da OS'!$D$8=Parâmetros!$B$5,'Dados da OS'!$D$8=Parâmetros!$B$6),"-"))))</f>
        <v>-</v>
      </c>
      <c r="AI127" s="83" t="str">
        <f xml:space="preserve">
IF(OR(ISBLANK(V127),ISBLANK(U127),ISBLANK(W127),V127="N/A",ISBLANK('Dados da OS'!$D$8)),"",
   IF(OR('Dados da OS'!$D$8=Parâmetros!$B$3,'Dados da OS'!$D$8=Parâmetros!$B$4),
      IF(OR(AND(V127="INM",AG127&lt;&gt;"VF"),AND(AG127="VF",V127&lt;&gt;"INM")),"",
        IF(AND(V127="INM",AG127="VF"),IF(ISBLANK(AB127),"",AF127*AB127),
        IF('Dados da OS'!$D$8=Parâmetros!$B$4,
           IF(OR(V127="CE",V127="EE"),4,IF(V127="SE",5,IF(V127="ALI",7,IF(V127="AIE",5,"")))),
        IF('Dados da OS'!$D$8=Parâmetros!$B$3,
           IF(OR(ISBLANK(X127),ISBLANK(Z127)),"",
              IF(V127="ALI",IF(AE127="L",7,IF(AE127="A",10,15)),
                 IF(V127="AIE",IF(AE127="L",5,IF(AE127="A",7,10)),
                    IF(V127="SE",IF(AE127="L",4,IF(AE127="A",5,7)),
                       IF(OR(V127="EE",V127="CE"),IF(AE127="L",3,IF(AE127="A",4,6)),""))))))))),
   IF('Dados da OS'!$D$8=Parâmetros!$B$5,
      IF(OR(AND(V127="INM",AG127&lt;&gt;"VF"),AND(AG127="VF",V127&lt;&gt;"INM")),"",
         IF(V127="INM",IF(AG127="VF",AF127*AB127,""),
            IF(V127="PE",4.6,
            IF(V127="AL",7,"")))),
   IF('Dados da OS'!$D$8=Parâmetros!$B$6,
      IF(V127="ALI",35,IF(V127="AIE",15,"")),""))
    )
)</f>
        <v/>
      </c>
      <c r="AJ127" s="82" t="str">
        <f t="shared" si="16"/>
        <v/>
      </c>
      <c r="AK127" s="84"/>
      <c r="AL127" s="85" t="s">
        <v>21</v>
      </c>
      <c r="AM127" s="86"/>
      <c r="AN127" s="85"/>
      <c r="AO127" s="87"/>
      <c r="AP127" s="85"/>
      <c r="AQ127" s="86"/>
      <c r="AR127" s="85"/>
    </row>
    <row r="128" spans="1:44" ht="15.75" customHeight="1">
      <c r="A128" s="54"/>
      <c r="B128" s="100"/>
      <c r="C128" s="55"/>
      <c r="D128" s="55"/>
      <c r="E128" s="56"/>
      <c r="F128" s="55"/>
      <c r="G128" s="56"/>
      <c r="H128" s="55"/>
      <c r="I128" s="64"/>
      <c r="J128" s="57" t="str">
        <f t="shared" si="17"/>
        <v/>
      </c>
      <c r="K128" s="57" t="str">
        <f t="shared" si="18"/>
        <v/>
      </c>
      <c r="L128" s="57" t="str">
        <f xml:space="preserve">
IF(OR('Dados da OS'!$D$8=Parâmetros!$B$3,'Dados da OS'!$D$8=Parâmetros!$B$4),
  IF(OR(ISBLANK(D128),ISBLANK(F128)),
     IF(OR(B128="ALI",B128="AIE"),"L",IF(ISBLANK(B128),"","A")),
     IF(B128="EE",IF(F128&gt;=3,IF(D128&gt;=5,"H","A"),
     IF(F128&gt;=2,IF(D128&gt;=16,"H",IF(D128&lt;=4,"L","A")),IF(D128&lt;=15,"L","A"))),
     IF(OR(B128="SE",B128="CE"),IF(F128&gt;=4,IF(D128&gt;=6,"H","A"),IF(F128&gt;=2,IF(D128&gt;=20,"H",IF(D128&lt;=5,"L","A")),IF(D128&lt;=19,"L","A"))),
     IF(OR(B128="ALI",B128="AIE"),IF(F128&gt;=6,IF(D128&gt;=20,"H","A"),IF(F128&gt;=2,IF(D128&gt;=51,"H",IF(D128&lt;=19,"L","A")),IF(D128&lt;=50,"L","A"))))))),
IF('Dados da OS'!$D$8=Parâmetros!$B$6,"Indicativa",
IF('Dados da OS'!$D$8=Parâmetros!$B$5,"PFS","")))</f>
        <v/>
      </c>
      <c r="M128" s="57">
        <f>IFERROR(VLOOKUP(C128,'Fatores de Impacto e INMs'!$A$3:$D$32,3,0),1)</f>
        <v>1</v>
      </c>
      <c r="N128" s="57">
        <f>IFERROR(VLOOKUP(C128,'Fatores de Impacto e INMs'!$A$3:$E$32,5,0),1)</f>
        <v>1</v>
      </c>
      <c r="O128" s="63" t="str">
        <f xml:space="preserve">
IF(OR('Dados da OS'!$D$8="Selecione o tipo da contagem",ISBLANK('Dados da OS'!$D$8),B128="INM",B128="N/A",ISBLANK(B128),ISBLANK(C128),N128="VF"),"-",
   IF('Dados da OS'!$D$8=Parâmetros!$B$3,
      IF(OR(ISBLANK(D128),ISBLANK(F128)),"-",
         IF(L128="L","Baixa",IF(L128="A","Média",IF(L128="H","Alta","-")))),
      IF('Dados da OS'!$D$8=Parâmetros!$B$4,
         IF(OR(B128="ALI",B128="AIE"),"Baixa",IF(OR(B128="EE",B128="SE",B128="CE"),"Média","-")),
         IF(OR('Dados da OS'!$D$8=Parâmetros!$B$5,'Dados da OS'!$D$8=Parâmetros!$B$6),"-"))))</f>
        <v>-</v>
      </c>
      <c r="P128" s="59" t="str">
        <f xml:space="preserve">
IF(OR(ISBLANK(B128),ISBLANK(C128),B128="N/A",ISBLANK('Dados da OS'!$D$8)),"",
   IF(OR('Dados da OS'!$D$8=Parâmetros!$B$3,'Dados da OS'!$D$8=Parâmetros!$B$4),
      IF(OR(AND(B128="INM",N128&lt;&gt;"VF"),AND(N128="VF",B128&lt;&gt;"INM")),"",
        IF(AND(B128="INM",N128="VF"),IF(ISBLANK(H128),"",M128*H128),
        IF('Dados da OS'!$D$8=Parâmetros!$B$4,
           IF(OR(B128="CE",B128="EE"),4,IF(B128="SE",5,IF(B128="ALI",7,IF(B128="AIE",5,"")))),
        IF('Dados da OS'!$D$8=Parâmetros!$B$3,
           IF(OR(ISBLANK(D128),ISBLANK(F128)),"",
              IF(B128="ALI",IF(L128="L",7,IF(L128="A",10,15)),
                 IF(B128="AIE",IF(L128="L",5,IF(L128="A",7,10)),
                    IF(B128="SE",IF(L128="L",4,IF(L128="A",5,7)),
                       IF(OR(B128="EE",B128="CE"),IF(L128="L",3,IF(L128="A",4,6)),""))))))))),
   IF('Dados da OS'!$D$8=Parâmetros!$B$5,
      IF(OR(AND(B128="INM",N128&lt;&gt;"VF"),AND(N128="VF",B128&lt;&gt;"INM")),"",
         IF(B128="INM",IF(N128="VF",M128*H128,""),
            IF(B128="PE",4.6,
            IF(B128="AL",7,"")))),
   IF('Dados da OS'!$D$8=Parâmetros!$B$6,
      IF(B128="ALI",35,IF(B128="AIE",15,"")),""))
    )
)</f>
        <v/>
      </c>
      <c r="Q128" s="60" t="str">
        <f t="shared" si="13"/>
        <v/>
      </c>
      <c r="R128" s="61"/>
      <c r="S128" s="62"/>
      <c r="T128" s="80" t="s">
        <v>21</v>
      </c>
      <c r="U128" s="81"/>
      <c r="V128" s="99"/>
      <c r="W128" s="55"/>
      <c r="X128" s="55"/>
      <c r="Y128" s="56"/>
      <c r="Z128" s="55"/>
      <c r="AA128" s="56"/>
      <c r="AB128" s="55"/>
      <c r="AC128" s="57" t="str">
        <f t="shared" si="14"/>
        <v/>
      </c>
      <c r="AD128" s="57" t="str">
        <f t="shared" si="15"/>
        <v/>
      </c>
      <c r="AE128" s="57" t="str">
        <f xml:space="preserve">
IF(OR('Dados da OS'!$D$8=Parâmetros!$B$3,'Dados da OS'!$D$8=Parâmetros!$B$4),
  IF(OR(ISBLANK(X128),ISBLANK(Z128)),
     IF(OR(V128="ALI",V128="AIE"),"L",IF(ISBLANK(V128),"","A")),
     IF(V128="EE",IF(Z128&gt;=3,IF(X128&gt;=5,"H","A"),
     IF(Z128&gt;=2,IF(X128&gt;=16,"H",IF(X128&lt;=4,"L","A")),IF(X128&lt;=15,"L","A"))),
     IF(OR(V128="SE",V128="CE"),IF(Z128&gt;=4,IF(X128&gt;=6,"H","A"),IF(Z128&gt;=2,IF(X128&gt;=20,"H",IF(X128&lt;=5,"L","A")),IF(X128&lt;=19,"L","A"))),
     IF(OR(V128="ALI",V128="AIE"),IF(Z128&gt;=6,IF(X128&gt;=20,"H","A"),IF(Z128&gt;=2,IF(X128&gt;=51,"H",IF(X128&lt;=19,"L","A")),IF(X128&lt;=50,"L","A"))))))),
IF('Dados da OS'!$D$8=Parâmetros!$B$6,"Indicativa",
IF('Dados da OS'!$D$8=Parâmetros!$B$5,"PFS","")))</f>
        <v/>
      </c>
      <c r="AF128" s="57">
        <f>IFERROR(VLOOKUP(W128,'Fatores de Impacto e INMs'!$A$3:$D$32,3,0),1)</f>
        <v>1</v>
      </c>
      <c r="AG128" s="57">
        <f>IFERROR(VLOOKUP(W128,'Fatores de Impacto e INMs'!$A$3:$E$32,5,0),1)</f>
        <v>1</v>
      </c>
      <c r="AH128" s="82" t="str">
        <f xml:space="preserve">
IF(OR('Dados da OS'!$D$8="Selecione o tipo da contagem",ISBLANK('Dados da OS'!$D$8),V128="INM",V128="N/A",ISBLANK(V128),ISBLANK(W128),AG128="VF"),"-",
   IF('Dados da OS'!$D$8=Parâmetros!$B$3,
      IF(OR(ISBLANK(X128),ISBLANK(Z128)),"-",
         IF(AE128="L","Baixa",IF(AE128="A","Média",IF(AE128="H","Alta","-")))),
      IF('Dados da OS'!$D$8=Parâmetros!$B$4,
         IF(OR(V128="ALI",V128="AIE"),"Baixa",IF(OR(V128="EE",V128="SE",V128="CE"),"Média","-")),
         IF(OR('Dados da OS'!$D$8=Parâmetros!$B$5,'Dados da OS'!$D$8=Parâmetros!$B$6),"-"))))</f>
        <v>-</v>
      </c>
      <c r="AI128" s="83" t="str">
        <f xml:space="preserve">
IF(OR(ISBLANK(V128),ISBLANK(U128),ISBLANK(W128),V128="N/A",ISBLANK('Dados da OS'!$D$8)),"",
   IF(OR('Dados da OS'!$D$8=Parâmetros!$B$3,'Dados da OS'!$D$8=Parâmetros!$B$4),
      IF(OR(AND(V128="INM",AG128&lt;&gt;"VF"),AND(AG128="VF",V128&lt;&gt;"INM")),"",
        IF(AND(V128="INM",AG128="VF"),IF(ISBLANK(AB128),"",AF128*AB128),
        IF('Dados da OS'!$D$8=Parâmetros!$B$4,
           IF(OR(V128="CE",V128="EE"),4,IF(V128="SE",5,IF(V128="ALI",7,IF(V128="AIE",5,"")))),
        IF('Dados da OS'!$D$8=Parâmetros!$B$3,
           IF(OR(ISBLANK(X128),ISBLANK(Z128)),"",
              IF(V128="ALI",IF(AE128="L",7,IF(AE128="A",10,15)),
                 IF(V128="AIE",IF(AE128="L",5,IF(AE128="A",7,10)),
                    IF(V128="SE",IF(AE128="L",4,IF(AE128="A",5,7)),
                       IF(OR(V128="EE",V128="CE"),IF(AE128="L",3,IF(AE128="A",4,6)),""))))))))),
   IF('Dados da OS'!$D$8=Parâmetros!$B$5,
      IF(OR(AND(V128="INM",AG128&lt;&gt;"VF"),AND(AG128="VF",V128&lt;&gt;"INM")),"",
         IF(V128="INM",IF(AG128="VF",AF128*AB128,""),
            IF(V128="PE",4.6,
            IF(V128="AL",7,"")))),
   IF('Dados da OS'!$D$8=Parâmetros!$B$6,
      IF(V128="ALI",35,IF(V128="AIE",15,"")),""))
    )
)</f>
        <v/>
      </c>
      <c r="AJ128" s="82" t="str">
        <f t="shared" si="16"/>
        <v/>
      </c>
      <c r="AK128" s="84"/>
      <c r="AL128" s="85" t="s">
        <v>21</v>
      </c>
      <c r="AM128" s="86"/>
      <c r="AN128" s="85"/>
      <c r="AO128" s="87"/>
      <c r="AP128" s="85"/>
      <c r="AQ128" s="86"/>
      <c r="AR128" s="85"/>
    </row>
    <row r="129" spans="1:44" ht="15.75" customHeight="1">
      <c r="A129" s="54"/>
      <c r="B129" s="100"/>
      <c r="C129" s="55"/>
      <c r="D129" s="55"/>
      <c r="E129" s="56"/>
      <c r="F129" s="55"/>
      <c r="G129" s="56"/>
      <c r="H129" s="55"/>
      <c r="I129" s="64"/>
      <c r="J129" s="57" t="str">
        <f t="shared" si="17"/>
        <v/>
      </c>
      <c r="K129" s="57" t="str">
        <f t="shared" si="18"/>
        <v/>
      </c>
      <c r="L129" s="57" t="str">
        <f xml:space="preserve">
IF(OR('Dados da OS'!$D$8=Parâmetros!$B$3,'Dados da OS'!$D$8=Parâmetros!$B$4),
  IF(OR(ISBLANK(D129),ISBLANK(F129)),
     IF(OR(B129="ALI",B129="AIE"),"L",IF(ISBLANK(B129),"","A")),
     IF(B129="EE",IF(F129&gt;=3,IF(D129&gt;=5,"H","A"),
     IF(F129&gt;=2,IF(D129&gt;=16,"H",IF(D129&lt;=4,"L","A")),IF(D129&lt;=15,"L","A"))),
     IF(OR(B129="SE",B129="CE"),IF(F129&gt;=4,IF(D129&gt;=6,"H","A"),IF(F129&gt;=2,IF(D129&gt;=20,"H",IF(D129&lt;=5,"L","A")),IF(D129&lt;=19,"L","A"))),
     IF(OR(B129="ALI",B129="AIE"),IF(F129&gt;=6,IF(D129&gt;=20,"H","A"),IF(F129&gt;=2,IF(D129&gt;=51,"H",IF(D129&lt;=19,"L","A")),IF(D129&lt;=50,"L","A"))))))),
IF('Dados da OS'!$D$8=Parâmetros!$B$6,"Indicativa",
IF('Dados da OS'!$D$8=Parâmetros!$B$5,"PFS","")))</f>
        <v/>
      </c>
      <c r="M129" s="57">
        <f>IFERROR(VLOOKUP(C129,'Fatores de Impacto e INMs'!$A$3:$D$32,3,0),1)</f>
        <v>1</v>
      </c>
      <c r="N129" s="57">
        <f>IFERROR(VLOOKUP(C129,'Fatores de Impacto e INMs'!$A$3:$E$32,5,0),1)</f>
        <v>1</v>
      </c>
      <c r="O129" s="63" t="str">
        <f xml:space="preserve">
IF(OR('Dados da OS'!$D$8="Selecione o tipo da contagem",ISBLANK('Dados da OS'!$D$8),B129="INM",B129="N/A",ISBLANK(B129),ISBLANK(C129),N129="VF"),"-",
   IF('Dados da OS'!$D$8=Parâmetros!$B$3,
      IF(OR(ISBLANK(D129),ISBLANK(F129)),"-",
         IF(L129="L","Baixa",IF(L129="A","Média",IF(L129="H","Alta","-")))),
      IF('Dados da OS'!$D$8=Parâmetros!$B$4,
         IF(OR(B129="ALI",B129="AIE"),"Baixa",IF(OR(B129="EE",B129="SE",B129="CE"),"Média","-")),
         IF(OR('Dados da OS'!$D$8=Parâmetros!$B$5,'Dados da OS'!$D$8=Parâmetros!$B$6),"-"))))</f>
        <v>-</v>
      </c>
      <c r="P129" s="59" t="str">
        <f xml:space="preserve">
IF(OR(ISBLANK(B129),ISBLANK(C129),B129="N/A",ISBLANK('Dados da OS'!$D$8)),"",
   IF(OR('Dados da OS'!$D$8=Parâmetros!$B$3,'Dados da OS'!$D$8=Parâmetros!$B$4),
      IF(OR(AND(B129="INM",N129&lt;&gt;"VF"),AND(N129="VF",B129&lt;&gt;"INM")),"",
        IF(AND(B129="INM",N129="VF"),IF(ISBLANK(H129),"",M129*H129),
        IF('Dados da OS'!$D$8=Parâmetros!$B$4,
           IF(OR(B129="CE",B129="EE"),4,IF(B129="SE",5,IF(B129="ALI",7,IF(B129="AIE",5,"")))),
        IF('Dados da OS'!$D$8=Parâmetros!$B$3,
           IF(OR(ISBLANK(D129),ISBLANK(F129)),"",
              IF(B129="ALI",IF(L129="L",7,IF(L129="A",10,15)),
                 IF(B129="AIE",IF(L129="L",5,IF(L129="A",7,10)),
                    IF(B129="SE",IF(L129="L",4,IF(L129="A",5,7)),
                       IF(OR(B129="EE",B129="CE"),IF(L129="L",3,IF(L129="A",4,6)),""))))))))),
   IF('Dados da OS'!$D$8=Parâmetros!$B$5,
      IF(OR(AND(B129="INM",N129&lt;&gt;"VF"),AND(N129="VF",B129&lt;&gt;"INM")),"",
         IF(B129="INM",IF(N129="VF",M129*H129,""),
            IF(B129="PE",4.6,
            IF(B129="AL",7,"")))),
   IF('Dados da OS'!$D$8=Parâmetros!$B$6,
      IF(B129="ALI",35,IF(B129="AIE",15,"")),""))
    )
)</f>
        <v/>
      </c>
      <c r="Q129" s="60" t="str">
        <f t="shared" si="13"/>
        <v/>
      </c>
      <c r="R129" s="61"/>
      <c r="S129" s="62"/>
      <c r="T129" s="80" t="s">
        <v>21</v>
      </c>
      <c r="U129" s="81"/>
      <c r="V129" s="99"/>
      <c r="W129" s="55"/>
      <c r="X129" s="55"/>
      <c r="Y129" s="56"/>
      <c r="Z129" s="55"/>
      <c r="AA129" s="56"/>
      <c r="AB129" s="55"/>
      <c r="AC129" s="57" t="str">
        <f t="shared" si="14"/>
        <v/>
      </c>
      <c r="AD129" s="57" t="str">
        <f t="shared" si="15"/>
        <v/>
      </c>
      <c r="AE129" s="57" t="str">
        <f xml:space="preserve">
IF(OR('Dados da OS'!$D$8=Parâmetros!$B$3,'Dados da OS'!$D$8=Parâmetros!$B$4),
  IF(OR(ISBLANK(X129),ISBLANK(Z129)),
     IF(OR(V129="ALI",V129="AIE"),"L",IF(ISBLANK(V129),"","A")),
     IF(V129="EE",IF(Z129&gt;=3,IF(X129&gt;=5,"H","A"),
     IF(Z129&gt;=2,IF(X129&gt;=16,"H",IF(X129&lt;=4,"L","A")),IF(X129&lt;=15,"L","A"))),
     IF(OR(V129="SE",V129="CE"),IF(Z129&gt;=4,IF(X129&gt;=6,"H","A"),IF(Z129&gt;=2,IF(X129&gt;=20,"H",IF(X129&lt;=5,"L","A")),IF(X129&lt;=19,"L","A"))),
     IF(OR(V129="ALI",V129="AIE"),IF(Z129&gt;=6,IF(X129&gt;=20,"H","A"),IF(Z129&gt;=2,IF(X129&gt;=51,"H",IF(X129&lt;=19,"L","A")),IF(X129&lt;=50,"L","A"))))))),
IF('Dados da OS'!$D$8=Parâmetros!$B$6,"Indicativa",
IF('Dados da OS'!$D$8=Parâmetros!$B$5,"PFS","")))</f>
        <v/>
      </c>
      <c r="AF129" s="57">
        <f>IFERROR(VLOOKUP(W129,'Fatores de Impacto e INMs'!$A$3:$D$32,3,0),1)</f>
        <v>1</v>
      </c>
      <c r="AG129" s="57">
        <f>IFERROR(VLOOKUP(W129,'Fatores de Impacto e INMs'!$A$3:$E$32,5,0),1)</f>
        <v>1</v>
      </c>
      <c r="AH129" s="82" t="str">
        <f xml:space="preserve">
IF(OR('Dados da OS'!$D$8="Selecione o tipo da contagem",ISBLANK('Dados da OS'!$D$8),V129="INM",V129="N/A",ISBLANK(V129),ISBLANK(W129),AG129="VF"),"-",
   IF('Dados da OS'!$D$8=Parâmetros!$B$3,
      IF(OR(ISBLANK(X129),ISBLANK(Z129)),"-",
         IF(AE129="L","Baixa",IF(AE129="A","Média",IF(AE129="H","Alta","-")))),
      IF('Dados da OS'!$D$8=Parâmetros!$B$4,
         IF(OR(V129="ALI",V129="AIE"),"Baixa",IF(OR(V129="EE",V129="SE",V129="CE"),"Média","-")),
         IF(OR('Dados da OS'!$D$8=Parâmetros!$B$5,'Dados da OS'!$D$8=Parâmetros!$B$6),"-"))))</f>
        <v>-</v>
      </c>
      <c r="AI129" s="83" t="str">
        <f xml:space="preserve">
IF(OR(ISBLANK(V129),ISBLANK(U129),ISBLANK(W129),V129="N/A",ISBLANK('Dados da OS'!$D$8)),"",
   IF(OR('Dados da OS'!$D$8=Parâmetros!$B$3,'Dados da OS'!$D$8=Parâmetros!$B$4),
      IF(OR(AND(V129="INM",AG129&lt;&gt;"VF"),AND(AG129="VF",V129&lt;&gt;"INM")),"",
        IF(AND(V129="INM",AG129="VF"),IF(ISBLANK(AB129),"",AF129*AB129),
        IF('Dados da OS'!$D$8=Parâmetros!$B$4,
           IF(OR(V129="CE",V129="EE"),4,IF(V129="SE",5,IF(V129="ALI",7,IF(V129="AIE",5,"")))),
        IF('Dados da OS'!$D$8=Parâmetros!$B$3,
           IF(OR(ISBLANK(X129),ISBLANK(Z129)),"",
              IF(V129="ALI",IF(AE129="L",7,IF(AE129="A",10,15)),
                 IF(V129="AIE",IF(AE129="L",5,IF(AE129="A",7,10)),
                    IF(V129="SE",IF(AE129="L",4,IF(AE129="A",5,7)),
                       IF(OR(V129="EE",V129="CE"),IF(AE129="L",3,IF(AE129="A",4,6)),""))))))))),
   IF('Dados da OS'!$D$8=Parâmetros!$B$5,
      IF(OR(AND(V129="INM",AG129&lt;&gt;"VF"),AND(AG129="VF",V129&lt;&gt;"INM")),"",
         IF(V129="INM",IF(AG129="VF",AF129*AB129,""),
            IF(V129="PE",4.6,
            IF(V129="AL",7,"")))),
   IF('Dados da OS'!$D$8=Parâmetros!$B$6,
      IF(V129="ALI",35,IF(V129="AIE",15,"")),""))
    )
)</f>
        <v/>
      </c>
      <c r="AJ129" s="82" t="str">
        <f t="shared" si="16"/>
        <v/>
      </c>
      <c r="AK129" s="84"/>
      <c r="AL129" s="85" t="s">
        <v>21</v>
      </c>
      <c r="AM129" s="86"/>
      <c r="AN129" s="85"/>
      <c r="AO129" s="87"/>
      <c r="AP129" s="85"/>
      <c r="AQ129" s="86"/>
      <c r="AR129" s="85"/>
    </row>
    <row r="130" spans="1:44" ht="15.75" customHeight="1">
      <c r="A130" s="54"/>
      <c r="B130" s="100"/>
      <c r="C130" s="55"/>
      <c r="D130" s="55"/>
      <c r="E130" s="56"/>
      <c r="F130" s="55"/>
      <c r="G130" s="56"/>
      <c r="H130" s="55"/>
      <c r="I130" s="64"/>
      <c r="J130" s="57" t="str">
        <f t="shared" si="17"/>
        <v/>
      </c>
      <c r="K130" s="57" t="str">
        <f t="shared" si="18"/>
        <v/>
      </c>
      <c r="L130" s="57" t="str">
        <f xml:space="preserve">
IF(OR('Dados da OS'!$D$8=Parâmetros!$B$3,'Dados da OS'!$D$8=Parâmetros!$B$4),
  IF(OR(ISBLANK(D130),ISBLANK(F130)),
     IF(OR(B130="ALI",B130="AIE"),"L",IF(ISBLANK(B130),"","A")),
     IF(B130="EE",IF(F130&gt;=3,IF(D130&gt;=5,"H","A"),
     IF(F130&gt;=2,IF(D130&gt;=16,"H",IF(D130&lt;=4,"L","A")),IF(D130&lt;=15,"L","A"))),
     IF(OR(B130="SE",B130="CE"),IF(F130&gt;=4,IF(D130&gt;=6,"H","A"),IF(F130&gt;=2,IF(D130&gt;=20,"H",IF(D130&lt;=5,"L","A")),IF(D130&lt;=19,"L","A"))),
     IF(OR(B130="ALI",B130="AIE"),IF(F130&gt;=6,IF(D130&gt;=20,"H","A"),IF(F130&gt;=2,IF(D130&gt;=51,"H",IF(D130&lt;=19,"L","A")),IF(D130&lt;=50,"L","A"))))))),
IF('Dados da OS'!$D$8=Parâmetros!$B$6,"Indicativa",
IF('Dados da OS'!$D$8=Parâmetros!$B$5,"PFS","")))</f>
        <v/>
      </c>
      <c r="M130" s="57">
        <f>IFERROR(VLOOKUP(C130,'Fatores de Impacto e INMs'!$A$3:$D$32,3,0),1)</f>
        <v>1</v>
      </c>
      <c r="N130" s="57">
        <f>IFERROR(VLOOKUP(C130,'Fatores de Impacto e INMs'!$A$3:$E$32,5,0),1)</f>
        <v>1</v>
      </c>
      <c r="O130" s="63" t="str">
        <f xml:space="preserve">
IF(OR('Dados da OS'!$D$8="Selecione o tipo da contagem",ISBLANK('Dados da OS'!$D$8),B130="INM",B130="N/A",ISBLANK(B130),ISBLANK(C130),N130="VF"),"-",
   IF('Dados da OS'!$D$8=Parâmetros!$B$3,
      IF(OR(ISBLANK(D130),ISBLANK(F130)),"-",
         IF(L130="L","Baixa",IF(L130="A","Média",IF(L130="H","Alta","-")))),
      IF('Dados da OS'!$D$8=Parâmetros!$B$4,
         IF(OR(B130="ALI",B130="AIE"),"Baixa",IF(OR(B130="EE",B130="SE",B130="CE"),"Média","-")),
         IF(OR('Dados da OS'!$D$8=Parâmetros!$B$5,'Dados da OS'!$D$8=Parâmetros!$B$6),"-"))))</f>
        <v>-</v>
      </c>
      <c r="P130" s="59" t="str">
        <f xml:space="preserve">
IF(OR(ISBLANK(B130),ISBLANK(C130),B130="N/A",ISBLANK('Dados da OS'!$D$8)),"",
   IF(OR('Dados da OS'!$D$8=Parâmetros!$B$3,'Dados da OS'!$D$8=Parâmetros!$B$4),
      IF(OR(AND(B130="INM",N130&lt;&gt;"VF"),AND(N130="VF",B130&lt;&gt;"INM")),"",
        IF(AND(B130="INM",N130="VF"),IF(ISBLANK(H130),"",M130*H130),
        IF('Dados da OS'!$D$8=Parâmetros!$B$4,
           IF(OR(B130="CE",B130="EE"),4,IF(B130="SE",5,IF(B130="ALI",7,IF(B130="AIE",5,"")))),
        IF('Dados da OS'!$D$8=Parâmetros!$B$3,
           IF(OR(ISBLANK(D130),ISBLANK(F130)),"",
              IF(B130="ALI",IF(L130="L",7,IF(L130="A",10,15)),
                 IF(B130="AIE",IF(L130="L",5,IF(L130="A",7,10)),
                    IF(B130="SE",IF(L130="L",4,IF(L130="A",5,7)),
                       IF(OR(B130="EE",B130="CE"),IF(L130="L",3,IF(L130="A",4,6)),""))))))))),
   IF('Dados da OS'!$D$8=Parâmetros!$B$5,
      IF(OR(AND(B130="INM",N130&lt;&gt;"VF"),AND(N130="VF",B130&lt;&gt;"INM")),"",
         IF(B130="INM",IF(N130="VF",M130*H130,""),
            IF(B130="PE",4.6,
            IF(B130="AL",7,"")))),
   IF('Dados da OS'!$D$8=Parâmetros!$B$6,
      IF(B130="ALI",35,IF(B130="AIE",15,"")),""))
    )
)</f>
        <v/>
      </c>
      <c r="Q130" s="60" t="str">
        <f t="shared" si="13"/>
        <v/>
      </c>
      <c r="R130" s="61"/>
      <c r="S130" s="62"/>
      <c r="T130" s="80" t="s">
        <v>21</v>
      </c>
      <c r="U130" s="81"/>
      <c r="V130" s="99"/>
      <c r="W130" s="55"/>
      <c r="X130" s="55"/>
      <c r="Y130" s="56"/>
      <c r="Z130" s="55"/>
      <c r="AA130" s="56"/>
      <c r="AB130" s="55"/>
      <c r="AC130" s="57" t="str">
        <f t="shared" si="14"/>
        <v/>
      </c>
      <c r="AD130" s="57" t="str">
        <f t="shared" si="15"/>
        <v/>
      </c>
      <c r="AE130" s="57" t="str">
        <f xml:space="preserve">
IF(OR('Dados da OS'!$D$8=Parâmetros!$B$3,'Dados da OS'!$D$8=Parâmetros!$B$4),
  IF(OR(ISBLANK(X130),ISBLANK(Z130)),
     IF(OR(V130="ALI",V130="AIE"),"L",IF(ISBLANK(V130),"","A")),
     IF(V130="EE",IF(Z130&gt;=3,IF(X130&gt;=5,"H","A"),
     IF(Z130&gt;=2,IF(X130&gt;=16,"H",IF(X130&lt;=4,"L","A")),IF(X130&lt;=15,"L","A"))),
     IF(OR(V130="SE",V130="CE"),IF(Z130&gt;=4,IF(X130&gt;=6,"H","A"),IF(Z130&gt;=2,IF(X130&gt;=20,"H",IF(X130&lt;=5,"L","A")),IF(X130&lt;=19,"L","A"))),
     IF(OR(V130="ALI",V130="AIE"),IF(Z130&gt;=6,IF(X130&gt;=20,"H","A"),IF(Z130&gt;=2,IF(X130&gt;=51,"H",IF(X130&lt;=19,"L","A")),IF(X130&lt;=50,"L","A"))))))),
IF('Dados da OS'!$D$8=Parâmetros!$B$6,"Indicativa",
IF('Dados da OS'!$D$8=Parâmetros!$B$5,"PFS","")))</f>
        <v/>
      </c>
      <c r="AF130" s="57">
        <f>IFERROR(VLOOKUP(W130,'Fatores de Impacto e INMs'!$A$3:$D$32,3,0),1)</f>
        <v>1</v>
      </c>
      <c r="AG130" s="57">
        <f>IFERROR(VLOOKUP(W130,'Fatores de Impacto e INMs'!$A$3:$E$32,5,0),1)</f>
        <v>1</v>
      </c>
      <c r="AH130" s="82" t="str">
        <f xml:space="preserve">
IF(OR('Dados da OS'!$D$8="Selecione o tipo da contagem",ISBLANK('Dados da OS'!$D$8),V130="INM",V130="N/A",ISBLANK(V130),ISBLANK(W130),AG130="VF"),"-",
   IF('Dados da OS'!$D$8=Parâmetros!$B$3,
      IF(OR(ISBLANK(X130),ISBLANK(Z130)),"-",
         IF(AE130="L","Baixa",IF(AE130="A","Média",IF(AE130="H","Alta","-")))),
      IF('Dados da OS'!$D$8=Parâmetros!$B$4,
         IF(OR(V130="ALI",V130="AIE"),"Baixa",IF(OR(V130="EE",V130="SE",V130="CE"),"Média","-")),
         IF(OR('Dados da OS'!$D$8=Parâmetros!$B$5,'Dados da OS'!$D$8=Parâmetros!$B$6),"-"))))</f>
        <v>-</v>
      </c>
      <c r="AI130" s="83" t="str">
        <f xml:space="preserve">
IF(OR(ISBLANK(V130),ISBLANK(U130),ISBLANK(W130),V130="N/A",ISBLANK('Dados da OS'!$D$8)),"",
   IF(OR('Dados da OS'!$D$8=Parâmetros!$B$3,'Dados da OS'!$D$8=Parâmetros!$B$4),
      IF(OR(AND(V130="INM",AG130&lt;&gt;"VF"),AND(AG130="VF",V130&lt;&gt;"INM")),"",
        IF(AND(V130="INM",AG130="VF"),IF(ISBLANK(AB130),"",AF130*AB130),
        IF('Dados da OS'!$D$8=Parâmetros!$B$4,
           IF(OR(V130="CE",V130="EE"),4,IF(V130="SE",5,IF(V130="ALI",7,IF(V130="AIE",5,"")))),
        IF('Dados da OS'!$D$8=Parâmetros!$B$3,
           IF(OR(ISBLANK(X130),ISBLANK(Z130)),"",
              IF(V130="ALI",IF(AE130="L",7,IF(AE130="A",10,15)),
                 IF(V130="AIE",IF(AE130="L",5,IF(AE130="A",7,10)),
                    IF(V130="SE",IF(AE130="L",4,IF(AE130="A",5,7)),
                       IF(OR(V130="EE",V130="CE"),IF(AE130="L",3,IF(AE130="A",4,6)),""))))))))),
   IF('Dados da OS'!$D$8=Parâmetros!$B$5,
      IF(OR(AND(V130="INM",AG130&lt;&gt;"VF"),AND(AG130="VF",V130&lt;&gt;"INM")),"",
         IF(V130="INM",IF(AG130="VF",AF130*AB130,""),
            IF(V130="PE",4.6,
            IF(V130="AL",7,"")))),
   IF('Dados da OS'!$D$8=Parâmetros!$B$6,
      IF(V130="ALI",35,IF(V130="AIE",15,"")),""))
    )
)</f>
        <v/>
      </c>
      <c r="AJ130" s="82" t="str">
        <f t="shared" si="16"/>
        <v/>
      </c>
      <c r="AK130" s="84"/>
      <c r="AL130" s="85" t="s">
        <v>21</v>
      </c>
      <c r="AM130" s="86"/>
      <c r="AN130" s="85"/>
      <c r="AO130" s="87"/>
      <c r="AP130" s="85"/>
      <c r="AQ130" s="86"/>
      <c r="AR130" s="85"/>
    </row>
    <row r="131" spans="1:44" ht="15.75" customHeight="1">
      <c r="A131" s="54"/>
      <c r="B131" s="100"/>
      <c r="C131" s="55"/>
      <c r="D131" s="55"/>
      <c r="E131" s="56"/>
      <c r="F131" s="55"/>
      <c r="G131" s="56"/>
      <c r="H131" s="55"/>
      <c r="I131" s="64"/>
      <c r="J131" s="57" t="str">
        <f t="shared" si="17"/>
        <v/>
      </c>
      <c r="K131" s="57" t="str">
        <f t="shared" si="18"/>
        <v/>
      </c>
      <c r="L131" s="57" t="str">
        <f xml:space="preserve">
IF(OR('Dados da OS'!$D$8=Parâmetros!$B$3,'Dados da OS'!$D$8=Parâmetros!$B$4),
  IF(OR(ISBLANK(D131),ISBLANK(F131)),
     IF(OR(B131="ALI",B131="AIE"),"L",IF(ISBLANK(B131),"","A")),
     IF(B131="EE",IF(F131&gt;=3,IF(D131&gt;=5,"H","A"),
     IF(F131&gt;=2,IF(D131&gt;=16,"H",IF(D131&lt;=4,"L","A")),IF(D131&lt;=15,"L","A"))),
     IF(OR(B131="SE",B131="CE"),IF(F131&gt;=4,IF(D131&gt;=6,"H","A"),IF(F131&gt;=2,IF(D131&gt;=20,"H",IF(D131&lt;=5,"L","A")),IF(D131&lt;=19,"L","A"))),
     IF(OR(B131="ALI",B131="AIE"),IF(F131&gt;=6,IF(D131&gt;=20,"H","A"),IF(F131&gt;=2,IF(D131&gt;=51,"H",IF(D131&lt;=19,"L","A")),IF(D131&lt;=50,"L","A"))))))),
IF('Dados da OS'!$D$8=Parâmetros!$B$6,"Indicativa",
IF('Dados da OS'!$D$8=Parâmetros!$B$5,"PFS","")))</f>
        <v/>
      </c>
      <c r="M131" s="57">
        <f>IFERROR(VLOOKUP(C131,'Fatores de Impacto e INMs'!$A$3:$D$32,3,0),1)</f>
        <v>1</v>
      </c>
      <c r="N131" s="57">
        <f>IFERROR(VLOOKUP(C131,'Fatores de Impacto e INMs'!$A$3:$E$32,5,0),1)</f>
        <v>1</v>
      </c>
      <c r="O131" s="63" t="str">
        <f xml:space="preserve">
IF(OR('Dados da OS'!$D$8="Selecione o tipo da contagem",ISBLANK('Dados da OS'!$D$8),B131="INM",B131="N/A",ISBLANK(B131),ISBLANK(C131),N131="VF"),"-",
   IF('Dados da OS'!$D$8=Parâmetros!$B$3,
      IF(OR(ISBLANK(D131),ISBLANK(F131)),"-",
         IF(L131="L","Baixa",IF(L131="A","Média",IF(L131="H","Alta","-")))),
      IF('Dados da OS'!$D$8=Parâmetros!$B$4,
         IF(OR(B131="ALI",B131="AIE"),"Baixa",IF(OR(B131="EE",B131="SE",B131="CE"),"Média","-")),
         IF(OR('Dados da OS'!$D$8=Parâmetros!$B$5,'Dados da OS'!$D$8=Parâmetros!$B$6),"-"))))</f>
        <v>-</v>
      </c>
      <c r="P131" s="59" t="str">
        <f xml:space="preserve">
IF(OR(ISBLANK(B131),ISBLANK(C131),B131="N/A",ISBLANK('Dados da OS'!$D$8)),"",
   IF(OR('Dados da OS'!$D$8=Parâmetros!$B$3,'Dados da OS'!$D$8=Parâmetros!$B$4),
      IF(OR(AND(B131="INM",N131&lt;&gt;"VF"),AND(N131="VF",B131&lt;&gt;"INM")),"",
        IF(AND(B131="INM",N131="VF"),IF(ISBLANK(H131),"",M131*H131),
        IF('Dados da OS'!$D$8=Parâmetros!$B$4,
           IF(OR(B131="CE",B131="EE"),4,IF(B131="SE",5,IF(B131="ALI",7,IF(B131="AIE",5,"")))),
        IF('Dados da OS'!$D$8=Parâmetros!$B$3,
           IF(OR(ISBLANK(D131),ISBLANK(F131)),"",
              IF(B131="ALI",IF(L131="L",7,IF(L131="A",10,15)),
                 IF(B131="AIE",IF(L131="L",5,IF(L131="A",7,10)),
                    IF(B131="SE",IF(L131="L",4,IF(L131="A",5,7)),
                       IF(OR(B131="EE",B131="CE"),IF(L131="L",3,IF(L131="A",4,6)),""))))))))),
   IF('Dados da OS'!$D$8=Parâmetros!$B$5,
      IF(OR(AND(B131="INM",N131&lt;&gt;"VF"),AND(N131="VF",B131&lt;&gt;"INM")),"",
         IF(B131="INM",IF(N131="VF",M131*H131,""),
            IF(B131="PE",4.6,
            IF(B131="AL",7,"")))),
   IF('Dados da OS'!$D$8=Parâmetros!$B$6,
      IF(B131="ALI",35,IF(B131="AIE",15,"")),""))
    )
)</f>
        <v/>
      </c>
      <c r="Q131" s="60" t="str">
        <f t="shared" si="13"/>
        <v/>
      </c>
      <c r="R131" s="61"/>
      <c r="S131" s="62"/>
      <c r="T131" s="80" t="s">
        <v>21</v>
      </c>
      <c r="U131" s="81"/>
      <c r="V131" s="99"/>
      <c r="W131" s="55"/>
      <c r="X131" s="55"/>
      <c r="Y131" s="56"/>
      <c r="Z131" s="55"/>
      <c r="AA131" s="56"/>
      <c r="AB131" s="55"/>
      <c r="AC131" s="57" t="str">
        <f t="shared" si="14"/>
        <v/>
      </c>
      <c r="AD131" s="57" t="str">
        <f t="shared" si="15"/>
        <v/>
      </c>
      <c r="AE131" s="57" t="str">
        <f xml:space="preserve">
IF(OR('Dados da OS'!$D$8=Parâmetros!$B$3,'Dados da OS'!$D$8=Parâmetros!$B$4),
  IF(OR(ISBLANK(X131),ISBLANK(Z131)),
     IF(OR(V131="ALI",V131="AIE"),"L",IF(ISBLANK(V131),"","A")),
     IF(V131="EE",IF(Z131&gt;=3,IF(X131&gt;=5,"H","A"),
     IF(Z131&gt;=2,IF(X131&gt;=16,"H",IF(X131&lt;=4,"L","A")),IF(X131&lt;=15,"L","A"))),
     IF(OR(V131="SE",V131="CE"),IF(Z131&gt;=4,IF(X131&gt;=6,"H","A"),IF(Z131&gt;=2,IF(X131&gt;=20,"H",IF(X131&lt;=5,"L","A")),IF(X131&lt;=19,"L","A"))),
     IF(OR(V131="ALI",V131="AIE"),IF(Z131&gt;=6,IF(X131&gt;=20,"H","A"),IF(Z131&gt;=2,IF(X131&gt;=51,"H",IF(X131&lt;=19,"L","A")),IF(X131&lt;=50,"L","A"))))))),
IF('Dados da OS'!$D$8=Parâmetros!$B$6,"Indicativa",
IF('Dados da OS'!$D$8=Parâmetros!$B$5,"PFS","")))</f>
        <v/>
      </c>
      <c r="AF131" s="57">
        <f>IFERROR(VLOOKUP(W131,'Fatores de Impacto e INMs'!$A$3:$D$32,3,0),1)</f>
        <v>1</v>
      </c>
      <c r="AG131" s="57">
        <f>IFERROR(VLOOKUP(W131,'Fatores de Impacto e INMs'!$A$3:$E$32,5,0),1)</f>
        <v>1</v>
      </c>
      <c r="AH131" s="82" t="str">
        <f xml:space="preserve">
IF(OR('Dados da OS'!$D$8="Selecione o tipo da contagem",ISBLANK('Dados da OS'!$D$8),V131="INM",V131="N/A",ISBLANK(V131),ISBLANK(W131),AG131="VF"),"-",
   IF('Dados da OS'!$D$8=Parâmetros!$B$3,
      IF(OR(ISBLANK(X131),ISBLANK(Z131)),"-",
         IF(AE131="L","Baixa",IF(AE131="A","Média",IF(AE131="H","Alta","-")))),
      IF('Dados da OS'!$D$8=Parâmetros!$B$4,
         IF(OR(V131="ALI",V131="AIE"),"Baixa",IF(OR(V131="EE",V131="SE",V131="CE"),"Média","-")),
         IF(OR('Dados da OS'!$D$8=Parâmetros!$B$5,'Dados da OS'!$D$8=Parâmetros!$B$6),"-"))))</f>
        <v>-</v>
      </c>
      <c r="AI131" s="83" t="str">
        <f xml:space="preserve">
IF(OR(ISBLANK(V131),ISBLANK(U131),ISBLANK(W131),V131="N/A",ISBLANK('Dados da OS'!$D$8)),"",
   IF(OR('Dados da OS'!$D$8=Parâmetros!$B$3,'Dados da OS'!$D$8=Parâmetros!$B$4),
      IF(OR(AND(V131="INM",AG131&lt;&gt;"VF"),AND(AG131="VF",V131&lt;&gt;"INM")),"",
        IF(AND(V131="INM",AG131="VF"),IF(ISBLANK(AB131),"",AF131*AB131),
        IF('Dados da OS'!$D$8=Parâmetros!$B$4,
           IF(OR(V131="CE",V131="EE"),4,IF(V131="SE",5,IF(V131="ALI",7,IF(V131="AIE",5,"")))),
        IF('Dados da OS'!$D$8=Parâmetros!$B$3,
           IF(OR(ISBLANK(X131),ISBLANK(Z131)),"",
              IF(V131="ALI",IF(AE131="L",7,IF(AE131="A",10,15)),
                 IF(V131="AIE",IF(AE131="L",5,IF(AE131="A",7,10)),
                    IF(V131="SE",IF(AE131="L",4,IF(AE131="A",5,7)),
                       IF(OR(V131="EE",V131="CE"),IF(AE131="L",3,IF(AE131="A",4,6)),""))))))))),
   IF('Dados da OS'!$D$8=Parâmetros!$B$5,
      IF(OR(AND(V131="INM",AG131&lt;&gt;"VF"),AND(AG131="VF",V131&lt;&gt;"INM")),"",
         IF(V131="INM",IF(AG131="VF",AF131*AB131,""),
            IF(V131="PE",4.6,
            IF(V131="AL",7,"")))),
   IF('Dados da OS'!$D$8=Parâmetros!$B$6,
      IF(V131="ALI",35,IF(V131="AIE",15,"")),""))
    )
)</f>
        <v/>
      </c>
      <c r="AJ131" s="82" t="str">
        <f t="shared" si="16"/>
        <v/>
      </c>
      <c r="AK131" s="84"/>
      <c r="AL131" s="85" t="s">
        <v>21</v>
      </c>
      <c r="AM131" s="86"/>
      <c r="AN131" s="85"/>
      <c r="AO131" s="87"/>
      <c r="AP131" s="85"/>
      <c r="AQ131" s="86"/>
      <c r="AR131" s="85"/>
    </row>
    <row r="132" spans="1:44" ht="15.75" customHeight="1">
      <c r="A132" s="54"/>
      <c r="B132" s="100"/>
      <c r="C132" s="55"/>
      <c r="D132" s="55"/>
      <c r="E132" s="56"/>
      <c r="F132" s="55"/>
      <c r="G132" s="56"/>
      <c r="H132" s="55"/>
      <c r="I132" s="64"/>
      <c r="J132" s="57" t="str">
        <f t="shared" si="17"/>
        <v/>
      </c>
      <c r="K132" s="57" t="str">
        <f t="shared" si="18"/>
        <v/>
      </c>
      <c r="L132" s="57" t="str">
        <f xml:space="preserve">
IF(OR('Dados da OS'!$D$8=Parâmetros!$B$3,'Dados da OS'!$D$8=Parâmetros!$B$4),
  IF(OR(ISBLANK(D132),ISBLANK(F132)),
     IF(OR(B132="ALI",B132="AIE"),"L",IF(ISBLANK(B132),"","A")),
     IF(B132="EE",IF(F132&gt;=3,IF(D132&gt;=5,"H","A"),
     IF(F132&gt;=2,IF(D132&gt;=16,"H",IF(D132&lt;=4,"L","A")),IF(D132&lt;=15,"L","A"))),
     IF(OR(B132="SE",B132="CE"),IF(F132&gt;=4,IF(D132&gt;=6,"H","A"),IF(F132&gt;=2,IF(D132&gt;=20,"H",IF(D132&lt;=5,"L","A")),IF(D132&lt;=19,"L","A"))),
     IF(OR(B132="ALI",B132="AIE"),IF(F132&gt;=6,IF(D132&gt;=20,"H","A"),IF(F132&gt;=2,IF(D132&gt;=51,"H",IF(D132&lt;=19,"L","A")),IF(D132&lt;=50,"L","A"))))))),
IF('Dados da OS'!$D$8=Parâmetros!$B$6,"Indicativa",
IF('Dados da OS'!$D$8=Parâmetros!$B$5,"PFS","")))</f>
        <v/>
      </c>
      <c r="M132" s="57">
        <f>IFERROR(VLOOKUP(C132,'Fatores de Impacto e INMs'!$A$3:$D$32,3,0),1)</f>
        <v>1</v>
      </c>
      <c r="N132" s="57">
        <f>IFERROR(VLOOKUP(C132,'Fatores de Impacto e INMs'!$A$3:$E$32,5,0),1)</f>
        <v>1</v>
      </c>
      <c r="O132" s="63" t="str">
        <f xml:space="preserve">
IF(OR('Dados da OS'!$D$8="Selecione o tipo da contagem",ISBLANK('Dados da OS'!$D$8),B132="INM",B132="N/A",ISBLANK(B132),ISBLANK(C132),N132="VF"),"-",
   IF('Dados da OS'!$D$8=Parâmetros!$B$3,
      IF(OR(ISBLANK(D132),ISBLANK(F132)),"-",
         IF(L132="L","Baixa",IF(L132="A","Média",IF(L132="H","Alta","-")))),
      IF('Dados da OS'!$D$8=Parâmetros!$B$4,
         IF(OR(B132="ALI",B132="AIE"),"Baixa",IF(OR(B132="EE",B132="SE",B132="CE"),"Média","-")),
         IF(OR('Dados da OS'!$D$8=Parâmetros!$B$5,'Dados da OS'!$D$8=Parâmetros!$B$6),"-"))))</f>
        <v>-</v>
      </c>
      <c r="P132" s="59" t="str">
        <f xml:space="preserve">
IF(OR(ISBLANK(B132),ISBLANK(C132),B132="N/A",ISBLANK('Dados da OS'!$D$8)),"",
   IF(OR('Dados da OS'!$D$8=Parâmetros!$B$3,'Dados da OS'!$D$8=Parâmetros!$B$4),
      IF(OR(AND(B132="INM",N132&lt;&gt;"VF"),AND(N132="VF",B132&lt;&gt;"INM")),"",
        IF(AND(B132="INM",N132="VF"),IF(ISBLANK(H132),"",M132*H132),
        IF('Dados da OS'!$D$8=Parâmetros!$B$4,
           IF(OR(B132="CE",B132="EE"),4,IF(B132="SE",5,IF(B132="ALI",7,IF(B132="AIE",5,"")))),
        IF('Dados da OS'!$D$8=Parâmetros!$B$3,
           IF(OR(ISBLANK(D132),ISBLANK(F132)),"",
              IF(B132="ALI",IF(L132="L",7,IF(L132="A",10,15)),
                 IF(B132="AIE",IF(L132="L",5,IF(L132="A",7,10)),
                    IF(B132="SE",IF(L132="L",4,IF(L132="A",5,7)),
                       IF(OR(B132="EE",B132="CE"),IF(L132="L",3,IF(L132="A",4,6)),""))))))))),
   IF('Dados da OS'!$D$8=Parâmetros!$B$5,
      IF(OR(AND(B132="INM",N132&lt;&gt;"VF"),AND(N132="VF",B132&lt;&gt;"INM")),"",
         IF(B132="INM",IF(N132="VF",M132*H132,""),
            IF(B132="PE",4.6,
            IF(B132="AL",7,"")))),
   IF('Dados da OS'!$D$8=Parâmetros!$B$6,
      IF(B132="ALI",35,IF(B132="AIE",15,"")),""))
    )
)</f>
        <v/>
      </c>
      <c r="Q132" s="60" t="str">
        <f t="shared" si="13"/>
        <v/>
      </c>
      <c r="R132" s="61"/>
      <c r="S132" s="62"/>
      <c r="T132" s="80" t="s">
        <v>21</v>
      </c>
      <c r="U132" s="81"/>
      <c r="V132" s="99"/>
      <c r="W132" s="55"/>
      <c r="X132" s="55"/>
      <c r="Y132" s="56"/>
      <c r="Z132" s="55"/>
      <c r="AA132" s="56"/>
      <c r="AB132" s="55"/>
      <c r="AC132" s="57" t="str">
        <f t="shared" si="14"/>
        <v/>
      </c>
      <c r="AD132" s="57" t="str">
        <f t="shared" si="15"/>
        <v/>
      </c>
      <c r="AE132" s="57" t="str">
        <f xml:space="preserve">
IF(OR('Dados da OS'!$D$8=Parâmetros!$B$3,'Dados da OS'!$D$8=Parâmetros!$B$4),
  IF(OR(ISBLANK(X132),ISBLANK(Z132)),
     IF(OR(V132="ALI",V132="AIE"),"L",IF(ISBLANK(V132),"","A")),
     IF(V132="EE",IF(Z132&gt;=3,IF(X132&gt;=5,"H","A"),
     IF(Z132&gt;=2,IF(X132&gt;=16,"H",IF(X132&lt;=4,"L","A")),IF(X132&lt;=15,"L","A"))),
     IF(OR(V132="SE",V132="CE"),IF(Z132&gt;=4,IF(X132&gt;=6,"H","A"),IF(Z132&gt;=2,IF(X132&gt;=20,"H",IF(X132&lt;=5,"L","A")),IF(X132&lt;=19,"L","A"))),
     IF(OR(V132="ALI",V132="AIE"),IF(Z132&gt;=6,IF(X132&gt;=20,"H","A"),IF(Z132&gt;=2,IF(X132&gt;=51,"H",IF(X132&lt;=19,"L","A")),IF(X132&lt;=50,"L","A"))))))),
IF('Dados da OS'!$D$8=Parâmetros!$B$6,"Indicativa",
IF('Dados da OS'!$D$8=Parâmetros!$B$5,"PFS","")))</f>
        <v/>
      </c>
      <c r="AF132" s="57">
        <f>IFERROR(VLOOKUP(W132,'Fatores de Impacto e INMs'!$A$3:$D$32,3,0),1)</f>
        <v>1</v>
      </c>
      <c r="AG132" s="57">
        <f>IFERROR(VLOOKUP(W132,'Fatores de Impacto e INMs'!$A$3:$E$32,5,0),1)</f>
        <v>1</v>
      </c>
      <c r="AH132" s="82" t="str">
        <f xml:space="preserve">
IF(OR('Dados da OS'!$D$8="Selecione o tipo da contagem",ISBLANK('Dados da OS'!$D$8),V132="INM",V132="N/A",ISBLANK(V132),ISBLANK(W132),AG132="VF"),"-",
   IF('Dados da OS'!$D$8=Parâmetros!$B$3,
      IF(OR(ISBLANK(X132),ISBLANK(Z132)),"-",
         IF(AE132="L","Baixa",IF(AE132="A","Média",IF(AE132="H","Alta","-")))),
      IF('Dados da OS'!$D$8=Parâmetros!$B$4,
         IF(OR(V132="ALI",V132="AIE"),"Baixa",IF(OR(V132="EE",V132="SE",V132="CE"),"Média","-")),
         IF(OR('Dados da OS'!$D$8=Parâmetros!$B$5,'Dados da OS'!$D$8=Parâmetros!$B$6),"-"))))</f>
        <v>-</v>
      </c>
      <c r="AI132" s="83" t="str">
        <f xml:space="preserve">
IF(OR(ISBLANK(V132),ISBLANK(U132),ISBLANK(W132),V132="N/A",ISBLANK('Dados da OS'!$D$8)),"",
   IF(OR('Dados da OS'!$D$8=Parâmetros!$B$3,'Dados da OS'!$D$8=Parâmetros!$B$4),
      IF(OR(AND(V132="INM",AG132&lt;&gt;"VF"),AND(AG132="VF",V132&lt;&gt;"INM")),"",
        IF(AND(V132="INM",AG132="VF"),IF(ISBLANK(AB132),"",AF132*AB132),
        IF('Dados da OS'!$D$8=Parâmetros!$B$4,
           IF(OR(V132="CE",V132="EE"),4,IF(V132="SE",5,IF(V132="ALI",7,IF(V132="AIE",5,"")))),
        IF('Dados da OS'!$D$8=Parâmetros!$B$3,
           IF(OR(ISBLANK(X132),ISBLANK(Z132)),"",
              IF(V132="ALI",IF(AE132="L",7,IF(AE132="A",10,15)),
                 IF(V132="AIE",IF(AE132="L",5,IF(AE132="A",7,10)),
                    IF(V132="SE",IF(AE132="L",4,IF(AE132="A",5,7)),
                       IF(OR(V132="EE",V132="CE"),IF(AE132="L",3,IF(AE132="A",4,6)),""))))))))),
   IF('Dados da OS'!$D$8=Parâmetros!$B$5,
      IF(OR(AND(V132="INM",AG132&lt;&gt;"VF"),AND(AG132="VF",V132&lt;&gt;"INM")),"",
         IF(V132="INM",IF(AG132="VF",AF132*AB132,""),
            IF(V132="PE",4.6,
            IF(V132="AL",7,"")))),
   IF('Dados da OS'!$D$8=Parâmetros!$B$6,
      IF(V132="ALI",35,IF(V132="AIE",15,"")),""))
    )
)</f>
        <v/>
      </c>
      <c r="AJ132" s="82" t="str">
        <f t="shared" si="16"/>
        <v/>
      </c>
      <c r="AK132" s="84"/>
      <c r="AL132" s="85" t="s">
        <v>21</v>
      </c>
      <c r="AM132" s="86"/>
      <c r="AN132" s="85"/>
      <c r="AO132" s="87"/>
      <c r="AP132" s="85"/>
      <c r="AQ132" s="86"/>
      <c r="AR132" s="85"/>
    </row>
    <row r="133" spans="1:44" ht="15.75" customHeight="1">
      <c r="A133" s="54"/>
      <c r="B133" s="100"/>
      <c r="C133" s="55"/>
      <c r="D133" s="55"/>
      <c r="E133" s="56"/>
      <c r="F133" s="55"/>
      <c r="G133" s="56"/>
      <c r="H133" s="55"/>
      <c r="I133" s="64"/>
      <c r="J133" s="57" t="str">
        <f t="shared" si="17"/>
        <v/>
      </c>
      <c r="K133" s="57" t="str">
        <f t="shared" si="18"/>
        <v/>
      </c>
      <c r="L133" s="57" t="str">
        <f xml:space="preserve">
IF(OR('Dados da OS'!$D$8=Parâmetros!$B$3,'Dados da OS'!$D$8=Parâmetros!$B$4),
  IF(OR(ISBLANK(D133),ISBLANK(F133)),
     IF(OR(B133="ALI",B133="AIE"),"L",IF(ISBLANK(B133),"","A")),
     IF(B133="EE",IF(F133&gt;=3,IF(D133&gt;=5,"H","A"),
     IF(F133&gt;=2,IF(D133&gt;=16,"H",IF(D133&lt;=4,"L","A")),IF(D133&lt;=15,"L","A"))),
     IF(OR(B133="SE",B133="CE"),IF(F133&gt;=4,IF(D133&gt;=6,"H","A"),IF(F133&gt;=2,IF(D133&gt;=20,"H",IF(D133&lt;=5,"L","A")),IF(D133&lt;=19,"L","A"))),
     IF(OR(B133="ALI",B133="AIE"),IF(F133&gt;=6,IF(D133&gt;=20,"H","A"),IF(F133&gt;=2,IF(D133&gt;=51,"H",IF(D133&lt;=19,"L","A")),IF(D133&lt;=50,"L","A"))))))),
IF('Dados da OS'!$D$8=Parâmetros!$B$6,"Indicativa",
IF('Dados da OS'!$D$8=Parâmetros!$B$5,"PFS","")))</f>
        <v/>
      </c>
      <c r="M133" s="57">
        <f>IFERROR(VLOOKUP(C133,'Fatores de Impacto e INMs'!$A$3:$D$32,3,0),1)</f>
        <v>1</v>
      </c>
      <c r="N133" s="57">
        <f>IFERROR(VLOOKUP(C133,'Fatores de Impacto e INMs'!$A$3:$E$32,5,0),1)</f>
        <v>1</v>
      </c>
      <c r="O133" s="63" t="str">
        <f xml:space="preserve">
IF(OR('Dados da OS'!$D$8="Selecione o tipo da contagem",ISBLANK('Dados da OS'!$D$8),B133="INM",B133="N/A",ISBLANK(B133),ISBLANK(C133),N133="VF"),"-",
   IF('Dados da OS'!$D$8=Parâmetros!$B$3,
      IF(OR(ISBLANK(D133),ISBLANK(F133)),"-",
         IF(L133="L","Baixa",IF(L133="A","Média",IF(L133="H","Alta","-")))),
      IF('Dados da OS'!$D$8=Parâmetros!$B$4,
         IF(OR(B133="ALI",B133="AIE"),"Baixa",IF(OR(B133="EE",B133="SE",B133="CE"),"Média","-")),
         IF(OR('Dados da OS'!$D$8=Parâmetros!$B$5,'Dados da OS'!$D$8=Parâmetros!$B$6),"-"))))</f>
        <v>-</v>
      </c>
      <c r="P133" s="59" t="str">
        <f xml:space="preserve">
IF(OR(ISBLANK(B133),ISBLANK(C133),B133="N/A",ISBLANK('Dados da OS'!$D$8)),"",
   IF(OR('Dados da OS'!$D$8=Parâmetros!$B$3,'Dados da OS'!$D$8=Parâmetros!$B$4),
      IF(OR(AND(B133="INM",N133&lt;&gt;"VF"),AND(N133="VF",B133&lt;&gt;"INM")),"",
        IF(AND(B133="INM",N133="VF"),IF(ISBLANK(H133),"",M133*H133),
        IF('Dados da OS'!$D$8=Parâmetros!$B$4,
           IF(OR(B133="CE",B133="EE"),4,IF(B133="SE",5,IF(B133="ALI",7,IF(B133="AIE",5,"")))),
        IF('Dados da OS'!$D$8=Parâmetros!$B$3,
           IF(OR(ISBLANK(D133),ISBLANK(F133)),"",
              IF(B133="ALI",IF(L133="L",7,IF(L133="A",10,15)),
                 IF(B133="AIE",IF(L133="L",5,IF(L133="A",7,10)),
                    IF(B133="SE",IF(L133="L",4,IF(L133="A",5,7)),
                       IF(OR(B133="EE",B133="CE"),IF(L133="L",3,IF(L133="A",4,6)),""))))))))),
   IF('Dados da OS'!$D$8=Parâmetros!$B$5,
      IF(OR(AND(B133="INM",N133&lt;&gt;"VF"),AND(N133="VF",B133&lt;&gt;"INM")),"",
         IF(B133="INM",IF(N133="VF",M133*H133,""),
            IF(B133="PE",4.6,
            IF(B133="AL",7,"")))),
   IF('Dados da OS'!$D$8=Parâmetros!$B$6,
      IF(B133="ALI",35,IF(B133="AIE",15,"")),""))
    )
)</f>
        <v/>
      </c>
      <c r="Q133" s="60" t="str">
        <f t="shared" ref="Q133:Q196" si="19">IF(P133="","",IF(B133="INM",P133,P133*M133))</f>
        <v/>
      </c>
      <c r="R133" s="61"/>
      <c r="S133" s="62"/>
      <c r="T133" s="80" t="s">
        <v>21</v>
      </c>
      <c r="U133" s="81"/>
      <c r="V133" s="99"/>
      <c r="W133" s="55"/>
      <c r="X133" s="55"/>
      <c r="Y133" s="56"/>
      <c r="Z133" s="55"/>
      <c r="AA133" s="56"/>
      <c r="AB133" s="55"/>
      <c r="AC133" s="57" t="str">
        <f t="shared" ref="AC133:AC196" si="20">CONCATENATE(V133,AE133)</f>
        <v/>
      </c>
      <c r="AD133" s="57" t="str">
        <f t="shared" ref="AD133:AD196" si="21">CONCATENATE(V133,W133,AE133,AJ133)</f>
        <v/>
      </c>
      <c r="AE133" s="57" t="str">
        <f xml:space="preserve">
IF(OR('Dados da OS'!$D$8=Parâmetros!$B$3,'Dados da OS'!$D$8=Parâmetros!$B$4),
  IF(OR(ISBLANK(X133),ISBLANK(Z133)),
     IF(OR(V133="ALI",V133="AIE"),"L",IF(ISBLANK(V133),"","A")),
     IF(V133="EE",IF(Z133&gt;=3,IF(X133&gt;=5,"H","A"),
     IF(Z133&gt;=2,IF(X133&gt;=16,"H",IF(X133&lt;=4,"L","A")),IF(X133&lt;=15,"L","A"))),
     IF(OR(V133="SE",V133="CE"),IF(Z133&gt;=4,IF(X133&gt;=6,"H","A"),IF(Z133&gt;=2,IF(X133&gt;=20,"H",IF(X133&lt;=5,"L","A")),IF(X133&lt;=19,"L","A"))),
     IF(OR(V133="ALI",V133="AIE"),IF(Z133&gt;=6,IF(X133&gt;=20,"H","A"),IF(Z133&gt;=2,IF(X133&gt;=51,"H",IF(X133&lt;=19,"L","A")),IF(X133&lt;=50,"L","A"))))))),
IF('Dados da OS'!$D$8=Parâmetros!$B$6,"Indicativa",
IF('Dados da OS'!$D$8=Parâmetros!$B$5,"PFS","")))</f>
        <v/>
      </c>
      <c r="AF133" s="57">
        <f>IFERROR(VLOOKUP(W133,'Fatores de Impacto e INMs'!$A$3:$D$32,3,0),1)</f>
        <v>1</v>
      </c>
      <c r="AG133" s="57">
        <f>IFERROR(VLOOKUP(W133,'Fatores de Impacto e INMs'!$A$3:$E$32,5,0),1)</f>
        <v>1</v>
      </c>
      <c r="AH133" s="82" t="str">
        <f xml:space="preserve">
IF(OR('Dados da OS'!$D$8="Selecione o tipo da contagem",ISBLANK('Dados da OS'!$D$8),V133="INM",V133="N/A",ISBLANK(V133),ISBLANK(W133),AG133="VF"),"-",
   IF('Dados da OS'!$D$8=Parâmetros!$B$3,
      IF(OR(ISBLANK(X133),ISBLANK(Z133)),"-",
         IF(AE133="L","Baixa",IF(AE133="A","Média",IF(AE133="H","Alta","-")))),
      IF('Dados da OS'!$D$8=Parâmetros!$B$4,
         IF(OR(V133="ALI",V133="AIE"),"Baixa",IF(OR(V133="EE",V133="SE",V133="CE"),"Média","-")),
         IF(OR('Dados da OS'!$D$8=Parâmetros!$B$5,'Dados da OS'!$D$8=Parâmetros!$B$6),"-"))))</f>
        <v>-</v>
      </c>
      <c r="AI133" s="83" t="str">
        <f xml:space="preserve">
IF(OR(ISBLANK(V133),ISBLANK(U133),ISBLANK(W133),V133="N/A",ISBLANK('Dados da OS'!$D$8)),"",
   IF(OR('Dados da OS'!$D$8=Parâmetros!$B$3,'Dados da OS'!$D$8=Parâmetros!$B$4),
      IF(OR(AND(V133="INM",AG133&lt;&gt;"VF"),AND(AG133="VF",V133&lt;&gt;"INM")),"",
        IF(AND(V133="INM",AG133="VF"),IF(ISBLANK(AB133),"",AF133*AB133),
        IF('Dados da OS'!$D$8=Parâmetros!$B$4,
           IF(OR(V133="CE",V133="EE"),4,IF(V133="SE",5,IF(V133="ALI",7,IF(V133="AIE",5,"")))),
        IF('Dados da OS'!$D$8=Parâmetros!$B$3,
           IF(OR(ISBLANK(X133),ISBLANK(Z133)),"",
              IF(V133="ALI",IF(AE133="L",7,IF(AE133="A",10,15)),
                 IF(V133="AIE",IF(AE133="L",5,IF(AE133="A",7,10)),
                    IF(V133="SE",IF(AE133="L",4,IF(AE133="A",5,7)),
                       IF(OR(V133="EE",V133="CE"),IF(AE133="L",3,IF(AE133="A",4,6)),""))))))))),
   IF('Dados da OS'!$D$8=Parâmetros!$B$5,
      IF(OR(AND(V133="INM",AG133&lt;&gt;"VF"),AND(AG133="VF",V133&lt;&gt;"INM")),"",
         IF(V133="INM",IF(AG133="VF",AF133*AB133,""),
            IF(V133="PE",4.6,
            IF(V133="AL",7,"")))),
   IF('Dados da OS'!$D$8=Parâmetros!$B$6,
      IF(V133="ALI",35,IF(V133="AIE",15,"")),""))
    )
)</f>
        <v/>
      </c>
      <c r="AJ133" s="82" t="str">
        <f t="shared" ref="AJ133:AJ196" si="22">IF(AI133="","",IF(V133="INM",AI133,AI133*AF133))</f>
        <v/>
      </c>
      <c r="AK133" s="84"/>
      <c r="AL133" s="85" t="s">
        <v>21</v>
      </c>
      <c r="AM133" s="86"/>
      <c r="AN133" s="85"/>
      <c r="AO133" s="87"/>
      <c r="AP133" s="85"/>
      <c r="AQ133" s="86"/>
      <c r="AR133" s="85"/>
    </row>
    <row r="134" spans="1:44" ht="15.75" customHeight="1">
      <c r="A134" s="54"/>
      <c r="B134" s="100"/>
      <c r="C134" s="55"/>
      <c r="D134" s="55"/>
      <c r="E134" s="56"/>
      <c r="F134" s="55"/>
      <c r="G134" s="56"/>
      <c r="H134" s="55"/>
      <c r="I134" s="64"/>
      <c r="J134" s="57" t="str">
        <f t="shared" si="17"/>
        <v/>
      </c>
      <c r="K134" s="57" t="str">
        <f t="shared" si="18"/>
        <v/>
      </c>
      <c r="L134" s="57" t="str">
        <f xml:space="preserve">
IF(OR('Dados da OS'!$D$8=Parâmetros!$B$3,'Dados da OS'!$D$8=Parâmetros!$B$4),
  IF(OR(ISBLANK(D134),ISBLANK(F134)),
     IF(OR(B134="ALI",B134="AIE"),"L",IF(ISBLANK(B134),"","A")),
     IF(B134="EE",IF(F134&gt;=3,IF(D134&gt;=5,"H","A"),
     IF(F134&gt;=2,IF(D134&gt;=16,"H",IF(D134&lt;=4,"L","A")),IF(D134&lt;=15,"L","A"))),
     IF(OR(B134="SE",B134="CE"),IF(F134&gt;=4,IF(D134&gt;=6,"H","A"),IF(F134&gt;=2,IF(D134&gt;=20,"H",IF(D134&lt;=5,"L","A")),IF(D134&lt;=19,"L","A"))),
     IF(OR(B134="ALI",B134="AIE"),IF(F134&gt;=6,IF(D134&gt;=20,"H","A"),IF(F134&gt;=2,IF(D134&gt;=51,"H",IF(D134&lt;=19,"L","A")),IF(D134&lt;=50,"L","A"))))))),
IF('Dados da OS'!$D$8=Parâmetros!$B$6,"Indicativa",
IF('Dados da OS'!$D$8=Parâmetros!$B$5,"PFS","")))</f>
        <v/>
      </c>
      <c r="M134" s="57">
        <f>IFERROR(VLOOKUP(C134,'Fatores de Impacto e INMs'!$A$3:$D$32,3,0),1)</f>
        <v>1</v>
      </c>
      <c r="N134" s="57">
        <f>IFERROR(VLOOKUP(C134,'Fatores de Impacto e INMs'!$A$3:$E$32,5,0),1)</f>
        <v>1</v>
      </c>
      <c r="O134" s="63" t="str">
        <f xml:space="preserve">
IF(OR('Dados da OS'!$D$8="Selecione o tipo da contagem",ISBLANK('Dados da OS'!$D$8),B134="INM",B134="N/A",ISBLANK(B134),ISBLANK(C134),N134="VF"),"-",
   IF('Dados da OS'!$D$8=Parâmetros!$B$3,
      IF(OR(ISBLANK(D134),ISBLANK(F134)),"-",
         IF(L134="L","Baixa",IF(L134="A","Média",IF(L134="H","Alta","-")))),
      IF('Dados da OS'!$D$8=Parâmetros!$B$4,
         IF(OR(B134="ALI",B134="AIE"),"Baixa",IF(OR(B134="EE",B134="SE",B134="CE"),"Média","-")),
         IF(OR('Dados da OS'!$D$8=Parâmetros!$B$5,'Dados da OS'!$D$8=Parâmetros!$B$6),"-"))))</f>
        <v>-</v>
      </c>
      <c r="P134" s="59" t="str">
        <f xml:space="preserve">
IF(OR(ISBLANK(B134),ISBLANK(C134),B134="N/A",ISBLANK('Dados da OS'!$D$8)),"",
   IF(OR('Dados da OS'!$D$8=Parâmetros!$B$3,'Dados da OS'!$D$8=Parâmetros!$B$4),
      IF(OR(AND(B134="INM",N134&lt;&gt;"VF"),AND(N134="VF",B134&lt;&gt;"INM")),"",
        IF(AND(B134="INM",N134="VF"),IF(ISBLANK(H134),"",M134*H134),
        IF('Dados da OS'!$D$8=Parâmetros!$B$4,
           IF(OR(B134="CE",B134="EE"),4,IF(B134="SE",5,IF(B134="ALI",7,IF(B134="AIE",5,"")))),
        IF('Dados da OS'!$D$8=Parâmetros!$B$3,
           IF(OR(ISBLANK(D134),ISBLANK(F134)),"",
              IF(B134="ALI",IF(L134="L",7,IF(L134="A",10,15)),
                 IF(B134="AIE",IF(L134="L",5,IF(L134="A",7,10)),
                    IF(B134="SE",IF(L134="L",4,IF(L134="A",5,7)),
                       IF(OR(B134="EE",B134="CE"),IF(L134="L",3,IF(L134="A",4,6)),""))))))))),
   IF('Dados da OS'!$D$8=Parâmetros!$B$5,
      IF(OR(AND(B134="INM",N134&lt;&gt;"VF"),AND(N134="VF",B134&lt;&gt;"INM")),"",
         IF(B134="INM",IF(N134="VF",M134*H134,""),
            IF(B134="PE",4.6,
            IF(B134="AL",7,"")))),
   IF('Dados da OS'!$D$8=Parâmetros!$B$6,
      IF(B134="ALI",35,IF(B134="AIE",15,"")),""))
    )
)</f>
        <v/>
      </c>
      <c r="Q134" s="60" t="str">
        <f t="shared" si="19"/>
        <v/>
      </c>
      <c r="R134" s="61"/>
      <c r="S134" s="62"/>
      <c r="T134" s="80" t="s">
        <v>21</v>
      </c>
      <c r="U134" s="81"/>
      <c r="V134" s="99"/>
      <c r="W134" s="55"/>
      <c r="X134" s="55"/>
      <c r="Y134" s="56"/>
      <c r="Z134" s="55"/>
      <c r="AA134" s="56"/>
      <c r="AB134" s="55"/>
      <c r="AC134" s="57" t="str">
        <f t="shared" si="20"/>
        <v/>
      </c>
      <c r="AD134" s="57" t="str">
        <f t="shared" si="21"/>
        <v/>
      </c>
      <c r="AE134" s="57" t="str">
        <f xml:space="preserve">
IF(OR('Dados da OS'!$D$8=Parâmetros!$B$3,'Dados da OS'!$D$8=Parâmetros!$B$4),
  IF(OR(ISBLANK(X134),ISBLANK(Z134)),
     IF(OR(V134="ALI",V134="AIE"),"L",IF(ISBLANK(V134),"","A")),
     IF(V134="EE",IF(Z134&gt;=3,IF(X134&gt;=5,"H","A"),
     IF(Z134&gt;=2,IF(X134&gt;=16,"H",IF(X134&lt;=4,"L","A")),IF(X134&lt;=15,"L","A"))),
     IF(OR(V134="SE",V134="CE"),IF(Z134&gt;=4,IF(X134&gt;=6,"H","A"),IF(Z134&gt;=2,IF(X134&gt;=20,"H",IF(X134&lt;=5,"L","A")),IF(X134&lt;=19,"L","A"))),
     IF(OR(V134="ALI",V134="AIE"),IF(Z134&gt;=6,IF(X134&gt;=20,"H","A"),IF(Z134&gt;=2,IF(X134&gt;=51,"H",IF(X134&lt;=19,"L","A")),IF(X134&lt;=50,"L","A"))))))),
IF('Dados da OS'!$D$8=Parâmetros!$B$6,"Indicativa",
IF('Dados da OS'!$D$8=Parâmetros!$B$5,"PFS","")))</f>
        <v/>
      </c>
      <c r="AF134" s="57">
        <f>IFERROR(VLOOKUP(W134,'Fatores de Impacto e INMs'!$A$3:$D$32,3,0),1)</f>
        <v>1</v>
      </c>
      <c r="AG134" s="57">
        <f>IFERROR(VLOOKUP(W134,'Fatores de Impacto e INMs'!$A$3:$E$32,5,0),1)</f>
        <v>1</v>
      </c>
      <c r="AH134" s="82" t="str">
        <f xml:space="preserve">
IF(OR('Dados da OS'!$D$8="Selecione o tipo da contagem",ISBLANK('Dados da OS'!$D$8),V134="INM",V134="N/A",ISBLANK(V134),ISBLANK(W134),AG134="VF"),"-",
   IF('Dados da OS'!$D$8=Parâmetros!$B$3,
      IF(OR(ISBLANK(X134),ISBLANK(Z134)),"-",
         IF(AE134="L","Baixa",IF(AE134="A","Média",IF(AE134="H","Alta","-")))),
      IF('Dados da OS'!$D$8=Parâmetros!$B$4,
         IF(OR(V134="ALI",V134="AIE"),"Baixa",IF(OR(V134="EE",V134="SE",V134="CE"),"Média","-")),
         IF(OR('Dados da OS'!$D$8=Parâmetros!$B$5,'Dados da OS'!$D$8=Parâmetros!$B$6),"-"))))</f>
        <v>-</v>
      </c>
      <c r="AI134" s="83" t="str">
        <f xml:space="preserve">
IF(OR(ISBLANK(V134),ISBLANK(U134),ISBLANK(W134),V134="N/A",ISBLANK('Dados da OS'!$D$8)),"",
   IF(OR('Dados da OS'!$D$8=Parâmetros!$B$3,'Dados da OS'!$D$8=Parâmetros!$B$4),
      IF(OR(AND(V134="INM",AG134&lt;&gt;"VF"),AND(AG134="VF",V134&lt;&gt;"INM")),"",
        IF(AND(V134="INM",AG134="VF"),IF(ISBLANK(AB134),"",AF134*AB134),
        IF('Dados da OS'!$D$8=Parâmetros!$B$4,
           IF(OR(V134="CE",V134="EE"),4,IF(V134="SE",5,IF(V134="ALI",7,IF(V134="AIE",5,"")))),
        IF('Dados da OS'!$D$8=Parâmetros!$B$3,
           IF(OR(ISBLANK(X134),ISBLANK(Z134)),"",
              IF(V134="ALI",IF(AE134="L",7,IF(AE134="A",10,15)),
                 IF(V134="AIE",IF(AE134="L",5,IF(AE134="A",7,10)),
                    IF(V134="SE",IF(AE134="L",4,IF(AE134="A",5,7)),
                       IF(OR(V134="EE",V134="CE"),IF(AE134="L",3,IF(AE134="A",4,6)),""))))))))),
   IF('Dados da OS'!$D$8=Parâmetros!$B$5,
      IF(OR(AND(V134="INM",AG134&lt;&gt;"VF"),AND(AG134="VF",V134&lt;&gt;"INM")),"",
         IF(V134="INM",IF(AG134="VF",AF134*AB134,""),
            IF(V134="PE",4.6,
            IF(V134="AL",7,"")))),
   IF('Dados da OS'!$D$8=Parâmetros!$B$6,
      IF(V134="ALI",35,IF(V134="AIE",15,"")),""))
    )
)</f>
        <v/>
      </c>
      <c r="AJ134" s="82" t="str">
        <f t="shared" si="22"/>
        <v/>
      </c>
      <c r="AK134" s="84"/>
      <c r="AL134" s="85" t="s">
        <v>21</v>
      </c>
      <c r="AM134" s="86"/>
      <c r="AN134" s="85"/>
      <c r="AO134" s="87"/>
      <c r="AP134" s="85"/>
      <c r="AQ134" s="86"/>
      <c r="AR134" s="85"/>
    </row>
    <row r="135" spans="1:44" ht="15.75" customHeight="1">
      <c r="A135" s="54"/>
      <c r="B135" s="100"/>
      <c r="C135" s="55"/>
      <c r="D135" s="55"/>
      <c r="E135" s="56"/>
      <c r="F135" s="55"/>
      <c r="G135" s="56"/>
      <c r="H135" s="55"/>
      <c r="I135" s="64"/>
      <c r="J135" s="57" t="str">
        <f t="shared" si="17"/>
        <v/>
      </c>
      <c r="K135" s="57" t="str">
        <f t="shared" si="18"/>
        <v/>
      </c>
      <c r="L135" s="57" t="str">
        <f xml:space="preserve">
IF(OR('Dados da OS'!$D$8=Parâmetros!$B$3,'Dados da OS'!$D$8=Parâmetros!$B$4),
  IF(OR(ISBLANK(D135),ISBLANK(F135)),
     IF(OR(B135="ALI",B135="AIE"),"L",IF(ISBLANK(B135),"","A")),
     IF(B135="EE",IF(F135&gt;=3,IF(D135&gt;=5,"H","A"),
     IF(F135&gt;=2,IF(D135&gt;=16,"H",IF(D135&lt;=4,"L","A")),IF(D135&lt;=15,"L","A"))),
     IF(OR(B135="SE",B135="CE"),IF(F135&gt;=4,IF(D135&gt;=6,"H","A"),IF(F135&gt;=2,IF(D135&gt;=20,"H",IF(D135&lt;=5,"L","A")),IF(D135&lt;=19,"L","A"))),
     IF(OR(B135="ALI",B135="AIE"),IF(F135&gt;=6,IF(D135&gt;=20,"H","A"),IF(F135&gt;=2,IF(D135&gt;=51,"H",IF(D135&lt;=19,"L","A")),IF(D135&lt;=50,"L","A"))))))),
IF('Dados da OS'!$D$8=Parâmetros!$B$6,"Indicativa",
IF('Dados da OS'!$D$8=Parâmetros!$B$5,"PFS","")))</f>
        <v/>
      </c>
      <c r="M135" s="57">
        <f>IFERROR(VLOOKUP(C135,'Fatores de Impacto e INMs'!$A$3:$D$32,3,0),1)</f>
        <v>1</v>
      </c>
      <c r="N135" s="57">
        <f>IFERROR(VLOOKUP(C135,'Fatores de Impacto e INMs'!$A$3:$E$32,5,0),1)</f>
        <v>1</v>
      </c>
      <c r="O135" s="63" t="str">
        <f xml:space="preserve">
IF(OR('Dados da OS'!$D$8="Selecione o tipo da contagem",ISBLANK('Dados da OS'!$D$8),B135="INM",B135="N/A",ISBLANK(B135),ISBLANK(C135),N135="VF"),"-",
   IF('Dados da OS'!$D$8=Parâmetros!$B$3,
      IF(OR(ISBLANK(D135),ISBLANK(F135)),"-",
         IF(L135="L","Baixa",IF(L135="A","Média",IF(L135="H","Alta","-")))),
      IF('Dados da OS'!$D$8=Parâmetros!$B$4,
         IF(OR(B135="ALI",B135="AIE"),"Baixa",IF(OR(B135="EE",B135="SE",B135="CE"),"Média","-")),
         IF(OR('Dados da OS'!$D$8=Parâmetros!$B$5,'Dados da OS'!$D$8=Parâmetros!$B$6),"-"))))</f>
        <v>-</v>
      </c>
      <c r="P135" s="59" t="str">
        <f xml:space="preserve">
IF(OR(ISBLANK(B135),ISBLANK(C135),B135="N/A",ISBLANK('Dados da OS'!$D$8)),"",
   IF(OR('Dados da OS'!$D$8=Parâmetros!$B$3,'Dados da OS'!$D$8=Parâmetros!$B$4),
      IF(OR(AND(B135="INM",N135&lt;&gt;"VF"),AND(N135="VF",B135&lt;&gt;"INM")),"",
        IF(AND(B135="INM",N135="VF"),IF(ISBLANK(H135),"",M135*H135),
        IF('Dados da OS'!$D$8=Parâmetros!$B$4,
           IF(OR(B135="CE",B135="EE"),4,IF(B135="SE",5,IF(B135="ALI",7,IF(B135="AIE",5,"")))),
        IF('Dados da OS'!$D$8=Parâmetros!$B$3,
           IF(OR(ISBLANK(D135),ISBLANK(F135)),"",
              IF(B135="ALI",IF(L135="L",7,IF(L135="A",10,15)),
                 IF(B135="AIE",IF(L135="L",5,IF(L135="A",7,10)),
                    IF(B135="SE",IF(L135="L",4,IF(L135="A",5,7)),
                       IF(OR(B135="EE",B135="CE"),IF(L135="L",3,IF(L135="A",4,6)),""))))))))),
   IF('Dados da OS'!$D$8=Parâmetros!$B$5,
      IF(OR(AND(B135="INM",N135&lt;&gt;"VF"),AND(N135="VF",B135&lt;&gt;"INM")),"",
         IF(B135="INM",IF(N135="VF",M135*H135,""),
            IF(B135="PE",4.6,
            IF(B135="AL",7,"")))),
   IF('Dados da OS'!$D$8=Parâmetros!$B$6,
      IF(B135="ALI",35,IF(B135="AIE",15,"")),""))
    )
)</f>
        <v/>
      </c>
      <c r="Q135" s="60" t="str">
        <f t="shared" si="19"/>
        <v/>
      </c>
      <c r="R135" s="61"/>
      <c r="S135" s="62"/>
      <c r="T135" s="80" t="s">
        <v>21</v>
      </c>
      <c r="U135" s="81"/>
      <c r="V135" s="99"/>
      <c r="W135" s="55"/>
      <c r="X135" s="55"/>
      <c r="Y135" s="56"/>
      <c r="Z135" s="55"/>
      <c r="AA135" s="56"/>
      <c r="AB135" s="55"/>
      <c r="AC135" s="57" t="str">
        <f t="shared" si="20"/>
        <v/>
      </c>
      <c r="AD135" s="57" t="str">
        <f t="shared" si="21"/>
        <v/>
      </c>
      <c r="AE135" s="57" t="str">
        <f xml:space="preserve">
IF(OR('Dados da OS'!$D$8=Parâmetros!$B$3,'Dados da OS'!$D$8=Parâmetros!$B$4),
  IF(OR(ISBLANK(X135),ISBLANK(Z135)),
     IF(OR(V135="ALI",V135="AIE"),"L",IF(ISBLANK(V135),"","A")),
     IF(V135="EE",IF(Z135&gt;=3,IF(X135&gt;=5,"H","A"),
     IF(Z135&gt;=2,IF(X135&gt;=16,"H",IF(X135&lt;=4,"L","A")),IF(X135&lt;=15,"L","A"))),
     IF(OR(V135="SE",V135="CE"),IF(Z135&gt;=4,IF(X135&gt;=6,"H","A"),IF(Z135&gt;=2,IF(X135&gt;=20,"H",IF(X135&lt;=5,"L","A")),IF(X135&lt;=19,"L","A"))),
     IF(OR(V135="ALI",V135="AIE"),IF(Z135&gt;=6,IF(X135&gt;=20,"H","A"),IF(Z135&gt;=2,IF(X135&gt;=51,"H",IF(X135&lt;=19,"L","A")),IF(X135&lt;=50,"L","A"))))))),
IF('Dados da OS'!$D$8=Parâmetros!$B$6,"Indicativa",
IF('Dados da OS'!$D$8=Parâmetros!$B$5,"PFS","")))</f>
        <v/>
      </c>
      <c r="AF135" s="57">
        <f>IFERROR(VLOOKUP(W135,'Fatores de Impacto e INMs'!$A$3:$D$32,3,0),1)</f>
        <v>1</v>
      </c>
      <c r="AG135" s="57">
        <f>IFERROR(VLOOKUP(W135,'Fatores de Impacto e INMs'!$A$3:$E$32,5,0),1)</f>
        <v>1</v>
      </c>
      <c r="AH135" s="82" t="str">
        <f xml:space="preserve">
IF(OR('Dados da OS'!$D$8="Selecione o tipo da contagem",ISBLANK('Dados da OS'!$D$8),V135="INM",V135="N/A",ISBLANK(V135),ISBLANK(W135),AG135="VF"),"-",
   IF('Dados da OS'!$D$8=Parâmetros!$B$3,
      IF(OR(ISBLANK(X135),ISBLANK(Z135)),"-",
         IF(AE135="L","Baixa",IF(AE135="A","Média",IF(AE135="H","Alta","-")))),
      IF('Dados da OS'!$D$8=Parâmetros!$B$4,
         IF(OR(V135="ALI",V135="AIE"),"Baixa",IF(OR(V135="EE",V135="SE",V135="CE"),"Média","-")),
         IF(OR('Dados da OS'!$D$8=Parâmetros!$B$5,'Dados da OS'!$D$8=Parâmetros!$B$6),"-"))))</f>
        <v>-</v>
      </c>
      <c r="AI135" s="83" t="str">
        <f xml:space="preserve">
IF(OR(ISBLANK(V135),ISBLANK(U135),ISBLANK(W135),V135="N/A",ISBLANK('Dados da OS'!$D$8)),"",
   IF(OR('Dados da OS'!$D$8=Parâmetros!$B$3,'Dados da OS'!$D$8=Parâmetros!$B$4),
      IF(OR(AND(V135="INM",AG135&lt;&gt;"VF"),AND(AG135="VF",V135&lt;&gt;"INM")),"",
        IF(AND(V135="INM",AG135="VF"),IF(ISBLANK(AB135),"",AF135*AB135),
        IF('Dados da OS'!$D$8=Parâmetros!$B$4,
           IF(OR(V135="CE",V135="EE"),4,IF(V135="SE",5,IF(V135="ALI",7,IF(V135="AIE",5,"")))),
        IF('Dados da OS'!$D$8=Parâmetros!$B$3,
           IF(OR(ISBLANK(X135),ISBLANK(Z135)),"",
              IF(V135="ALI",IF(AE135="L",7,IF(AE135="A",10,15)),
                 IF(V135="AIE",IF(AE135="L",5,IF(AE135="A",7,10)),
                    IF(V135="SE",IF(AE135="L",4,IF(AE135="A",5,7)),
                       IF(OR(V135="EE",V135="CE"),IF(AE135="L",3,IF(AE135="A",4,6)),""))))))))),
   IF('Dados da OS'!$D$8=Parâmetros!$B$5,
      IF(OR(AND(V135="INM",AG135&lt;&gt;"VF"),AND(AG135="VF",V135&lt;&gt;"INM")),"",
         IF(V135="INM",IF(AG135="VF",AF135*AB135,""),
            IF(V135="PE",4.6,
            IF(V135="AL",7,"")))),
   IF('Dados da OS'!$D$8=Parâmetros!$B$6,
      IF(V135="ALI",35,IF(V135="AIE",15,"")),""))
    )
)</f>
        <v/>
      </c>
      <c r="AJ135" s="82" t="str">
        <f t="shared" si="22"/>
        <v/>
      </c>
      <c r="AK135" s="84"/>
      <c r="AL135" s="85" t="s">
        <v>21</v>
      </c>
      <c r="AM135" s="86"/>
      <c r="AN135" s="85"/>
      <c r="AO135" s="87"/>
      <c r="AP135" s="85"/>
      <c r="AQ135" s="86"/>
      <c r="AR135" s="85"/>
    </row>
    <row r="136" spans="1:44" ht="15.75" customHeight="1">
      <c r="A136" s="54"/>
      <c r="B136" s="100"/>
      <c r="C136" s="55"/>
      <c r="D136" s="55"/>
      <c r="E136" s="56"/>
      <c r="F136" s="55"/>
      <c r="G136" s="56"/>
      <c r="H136" s="55"/>
      <c r="I136" s="64"/>
      <c r="J136" s="57" t="str">
        <f t="shared" si="17"/>
        <v/>
      </c>
      <c r="K136" s="57" t="str">
        <f t="shared" si="18"/>
        <v/>
      </c>
      <c r="L136" s="57" t="str">
        <f xml:space="preserve">
IF(OR('Dados da OS'!$D$8=Parâmetros!$B$3,'Dados da OS'!$D$8=Parâmetros!$B$4),
  IF(OR(ISBLANK(D136),ISBLANK(F136)),
     IF(OR(B136="ALI",B136="AIE"),"L",IF(ISBLANK(B136),"","A")),
     IF(B136="EE",IF(F136&gt;=3,IF(D136&gt;=5,"H","A"),
     IF(F136&gt;=2,IF(D136&gt;=16,"H",IF(D136&lt;=4,"L","A")),IF(D136&lt;=15,"L","A"))),
     IF(OR(B136="SE",B136="CE"),IF(F136&gt;=4,IF(D136&gt;=6,"H","A"),IF(F136&gt;=2,IF(D136&gt;=20,"H",IF(D136&lt;=5,"L","A")),IF(D136&lt;=19,"L","A"))),
     IF(OR(B136="ALI",B136="AIE"),IF(F136&gt;=6,IF(D136&gt;=20,"H","A"),IF(F136&gt;=2,IF(D136&gt;=51,"H",IF(D136&lt;=19,"L","A")),IF(D136&lt;=50,"L","A"))))))),
IF('Dados da OS'!$D$8=Parâmetros!$B$6,"Indicativa",
IF('Dados da OS'!$D$8=Parâmetros!$B$5,"PFS","")))</f>
        <v/>
      </c>
      <c r="M136" s="57">
        <f>IFERROR(VLOOKUP(C136,'Fatores de Impacto e INMs'!$A$3:$D$32,3,0),1)</f>
        <v>1</v>
      </c>
      <c r="N136" s="57">
        <f>IFERROR(VLOOKUP(C136,'Fatores de Impacto e INMs'!$A$3:$E$32,5,0),1)</f>
        <v>1</v>
      </c>
      <c r="O136" s="63" t="str">
        <f xml:space="preserve">
IF(OR('Dados da OS'!$D$8="Selecione o tipo da contagem",ISBLANK('Dados da OS'!$D$8),B136="INM",B136="N/A",ISBLANK(B136),ISBLANK(C136),N136="VF"),"-",
   IF('Dados da OS'!$D$8=Parâmetros!$B$3,
      IF(OR(ISBLANK(D136),ISBLANK(F136)),"-",
         IF(L136="L","Baixa",IF(L136="A","Média",IF(L136="H","Alta","-")))),
      IF('Dados da OS'!$D$8=Parâmetros!$B$4,
         IF(OR(B136="ALI",B136="AIE"),"Baixa",IF(OR(B136="EE",B136="SE",B136="CE"),"Média","-")),
         IF(OR('Dados da OS'!$D$8=Parâmetros!$B$5,'Dados da OS'!$D$8=Parâmetros!$B$6),"-"))))</f>
        <v>-</v>
      </c>
      <c r="P136" s="59" t="str">
        <f xml:space="preserve">
IF(OR(ISBLANK(B136),ISBLANK(C136),B136="N/A",ISBLANK('Dados da OS'!$D$8)),"",
   IF(OR('Dados da OS'!$D$8=Parâmetros!$B$3,'Dados da OS'!$D$8=Parâmetros!$B$4),
      IF(OR(AND(B136="INM",N136&lt;&gt;"VF"),AND(N136="VF",B136&lt;&gt;"INM")),"",
        IF(AND(B136="INM",N136="VF"),IF(ISBLANK(H136),"",M136*H136),
        IF('Dados da OS'!$D$8=Parâmetros!$B$4,
           IF(OR(B136="CE",B136="EE"),4,IF(B136="SE",5,IF(B136="ALI",7,IF(B136="AIE",5,"")))),
        IF('Dados da OS'!$D$8=Parâmetros!$B$3,
           IF(OR(ISBLANK(D136),ISBLANK(F136)),"",
              IF(B136="ALI",IF(L136="L",7,IF(L136="A",10,15)),
                 IF(B136="AIE",IF(L136="L",5,IF(L136="A",7,10)),
                    IF(B136="SE",IF(L136="L",4,IF(L136="A",5,7)),
                       IF(OR(B136="EE",B136="CE"),IF(L136="L",3,IF(L136="A",4,6)),""))))))))),
   IF('Dados da OS'!$D$8=Parâmetros!$B$5,
      IF(OR(AND(B136="INM",N136&lt;&gt;"VF"),AND(N136="VF",B136&lt;&gt;"INM")),"",
         IF(B136="INM",IF(N136="VF",M136*H136,""),
            IF(B136="PE",4.6,
            IF(B136="AL",7,"")))),
   IF('Dados da OS'!$D$8=Parâmetros!$B$6,
      IF(B136="ALI",35,IF(B136="AIE",15,"")),""))
    )
)</f>
        <v/>
      </c>
      <c r="Q136" s="60" t="str">
        <f t="shared" si="19"/>
        <v/>
      </c>
      <c r="R136" s="61"/>
      <c r="S136" s="62"/>
      <c r="T136" s="80" t="s">
        <v>21</v>
      </c>
      <c r="U136" s="81"/>
      <c r="V136" s="99"/>
      <c r="W136" s="55"/>
      <c r="X136" s="55"/>
      <c r="Y136" s="56"/>
      <c r="Z136" s="55"/>
      <c r="AA136" s="56"/>
      <c r="AB136" s="55"/>
      <c r="AC136" s="57" t="str">
        <f t="shared" si="20"/>
        <v/>
      </c>
      <c r="AD136" s="57" t="str">
        <f t="shared" si="21"/>
        <v/>
      </c>
      <c r="AE136" s="57" t="str">
        <f xml:space="preserve">
IF(OR('Dados da OS'!$D$8=Parâmetros!$B$3,'Dados da OS'!$D$8=Parâmetros!$B$4),
  IF(OR(ISBLANK(X136),ISBLANK(Z136)),
     IF(OR(V136="ALI",V136="AIE"),"L",IF(ISBLANK(V136),"","A")),
     IF(V136="EE",IF(Z136&gt;=3,IF(X136&gt;=5,"H","A"),
     IF(Z136&gt;=2,IF(X136&gt;=16,"H",IF(X136&lt;=4,"L","A")),IF(X136&lt;=15,"L","A"))),
     IF(OR(V136="SE",V136="CE"),IF(Z136&gt;=4,IF(X136&gt;=6,"H","A"),IF(Z136&gt;=2,IF(X136&gt;=20,"H",IF(X136&lt;=5,"L","A")),IF(X136&lt;=19,"L","A"))),
     IF(OR(V136="ALI",V136="AIE"),IF(Z136&gt;=6,IF(X136&gt;=20,"H","A"),IF(Z136&gt;=2,IF(X136&gt;=51,"H",IF(X136&lt;=19,"L","A")),IF(X136&lt;=50,"L","A"))))))),
IF('Dados da OS'!$D$8=Parâmetros!$B$6,"Indicativa",
IF('Dados da OS'!$D$8=Parâmetros!$B$5,"PFS","")))</f>
        <v/>
      </c>
      <c r="AF136" s="57">
        <f>IFERROR(VLOOKUP(W136,'Fatores de Impacto e INMs'!$A$3:$D$32,3,0),1)</f>
        <v>1</v>
      </c>
      <c r="AG136" s="57">
        <f>IFERROR(VLOOKUP(W136,'Fatores de Impacto e INMs'!$A$3:$E$32,5,0),1)</f>
        <v>1</v>
      </c>
      <c r="AH136" s="82" t="str">
        <f xml:space="preserve">
IF(OR('Dados da OS'!$D$8="Selecione o tipo da contagem",ISBLANK('Dados da OS'!$D$8),V136="INM",V136="N/A",ISBLANK(V136),ISBLANK(W136),AG136="VF"),"-",
   IF('Dados da OS'!$D$8=Parâmetros!$B$3,
      IF(OR(ISBLANK(X136),ISBLANK(Z136)),"-",
         IF(AE136="L","Baixa",IF(AE136="A","Média",IF(AE136="H","Alta","-")))),
      IF('Dados da OS'!$D$8=Parâmetros!$B$4,
         IF(OR(V136="ALI",V136="AIE"),"Baixa",IF(OR(V136="EE",V136="SE",V136="CE"),"Média","-")),
         IF(OR('Dados da OS'!$D$8=Parâmetros!$B$5,'Dados da OS'!$D$8=Parâmetros!$B$6),"-"))))</f>
        <v>-</v>
      </c>
      <c r="AI136" s="83" t="str">
        <f xml:space="preserve">
IF(OR(ISBLANK(V136),ISBLANK(U136),ISBLANK(W136),V136="N/A",ISBLANK('Dados da OS'!$D$8)),"",
   IF(OR('Dados da OS'!$D$8=Parâmetros!$B$3,'Dados da OS'!$D$8=Parâmetros!$B$4),
      IF(OR(AND(V136="INM",AG136&lt;&gt;"VF"),AND(AG136="VF",V136&lt;&gt;"INM")),"",
        IF(AND(V136="INM",AG136="VF"),IF(ISBLANK(AB136),"",AF136*AB136),
        IF('Dados da OS'!$D$8=Parâmetros!$B$4,
           IF(OR(V136="CE",V136="EE"),4,IF(V136="SE",5,IF(V136="ALI",7,IF(V136="AIE",5,"")))),
        IF('Dados da OS'!$D$8=Parâmetros!$B$3,
           IF(OR(ISBLANK(X136),ISBLANK(Z136)),"",
              IF(V136="ALI",IF(AE136="L",7,IF(AE136="A",10,15)),
                 IF(V136="AIE",IF(AE136="L",5,IF(AE136="A",7,10)),
                    IF(V136="SE",IF(AE136="L",4,IF(AE136="A",5,7)),
                       IF(OR(V136="EE",V136="CE"),IF(AE136="L",3,IF(AE136="A",4,6)),""))))))))),
   IF('Dados da OS'!$D$8=Parâmetros!$B$5,
      IF(OR(AND(V136="INM",AG136&lt;&gt;"VF"),AND(AG136="VF",V136&lt;&gt;"INM")),"",
         IF(V136="INM",IF(AG136="VF",AF136*AB136,""),
            IF(V136="PE",4.6,
            IF(V136="AL",7,"")))),
   IF('Dados da OS'!$D$8=Parâmetros!$B$6,
      IF(V136="ALI",35,IF(V136="AIE",15,"")),""))
    )
)</f>
        <v/>
      </c>
      <c r="AJ136" s="82" t="str">
        <f t="shared" si="22"/>
        <v/>
      </c>
      <c r="AK136" s="84"/>
      <c r="AL136" s="85" t="s">
        <v>21</v>
      </c>
      <c r="AM136" s="86"/>
      <c r="AN136" s="85"/>
      <c r="AO136" s="87"/>
      <c r="AP136" s="85"/>
      <c r="AQ136" s="86"/>
      <c r="AR136" s="85"/>
    </row>
    <row r="137" spans="1:44" ht="15.75" customHeight="1">
      <c r="A137" s="54"/>
      <c r="B137" s="100"/>
      <c r="C137" s="55"/>
      <c r="D137" s="55"/>
      <c r="E137" s="56"/>
      <c r="F137" s="55"/>
      <c r="G137" s="56"/>
      <c r="H137" s="55"/>
      <c r="I137" s="64"/>
      <c r="J137" s="57" t="str">
        <f t="shared" si="17"/>
        <v/>
      </c>
      <c r="K137" s="57" t="str">
        <f t="shared" si="18"/>
        <v/>
      </c>
      <c r="L137" s="57" t="str">
        <f xml:space="preserve">
IF(OR('Dados da OS'!$D$8=Parâmetros!$B$3,'Dados da OS'!$D$8=Parâmetros!$B$4),
  IF(OR(ISBLANK(D137),ISBLANK(F137)),
     IF(OR(B137="ALI",B137="AIE"),"L",IF(ISBLANK(B137),"","A")),
     IF(B137="EE",IF(F137&gt;=3,IF(D137&gt;=5,"H","A"),
     IF(F137&gt;=2,IF(D137&gt;=16,"H",IF(D137&lt;=4,"L","A")),IF(D137&lt;=15,"L","A"))),
     IF(OR(B137="SE",B137="CE"),IF(F137&gt;=4,IF(D137&gt;=6,"H","A"),IF(F137&gt;=2,IF(D137&gt;=20,"H",IF(D137&lt;=5,"L","A")),IF(D137&lt;=19,"L","A"))),
     IF(OR(B137="ALI",B137="AIE"),IF(F137&gt;=6,IF(D137&gt;=20,"H","A"),IF(F137&gt;=2,IF(D137&gt;=51,"H",IF(D137&lt;=19,"L","A")),IF(D137&lt;=50,"L","A"))))))),
IF('Dados da OS'!$D$8=Parâmetros!$B$6,"Indicativa",
IF('Dados da OS'!$D$8=Parâmetros!$B$5,"PFS","")))</f>
        <v/>
      </c>
      <c r="M137" s="57">
        <f>IFERROR(VLOOKUP(C137,'Fatores de Impacto e INMs'!$A$3:$D$32,3,0),1)</f>
        <v>1</v>
      </c>
      <c r="N137" s="57">
        <f>IFERROR(VLOOKUP(C137,'Fatores de Impacto e INMs'!$A$3:$E$32,5,0),1)</f>
        <v>1</v>
      </c>
      <c r="O137" s="63" t="str">
        <f xml:space="preserve">
IF(OR('Dados da OS'!$D$8="Selecione o tipo da contagem",ISBLANK('Dados da OS'!$D$8),B137="INM",B137="N/A",ISBLANK(B137),ISBLANK(C137),N137="VF"),"-",
   IF('Dados da OS'!$D$8=Parâmetros!$B$3,
      IF(OR(ISBLANK(D137),ISBLANK(F137)),"-",
         IF(L137="L","Baixa",IF(L137="A","Média",IF(L137="H","Alta","-")))),
      IF('Dados da OS'!$D$8=Parâmetros!$B$4,
         IF(OR(B137="ALI",B137="AIE"),"Baixa",IF(OR(B137="EE",B137="SE",B137="CE"),"Média","-")),
         IF(OR('Dados da OS'!$D$8=Parâmetros!$B$5,'Dados da OS'!$D$8=Parâmetros!$B$6),"-"))))</f>
        <v>-</v>
      </c>
      <c r="P137" s="59" t="str">
        <f xml:space="preserve">
IF(OR(ISBLANK(B137),ISBLANK(C137),B137="N/A",ISBLANK('Dados da OS'!$D$8)),"",
   IF(OR('Dados da OS'!$D$8=Parâmetros!$B$3,'Dados da OS'!$D$8=Parâmetros!$B$4),
      IF(OR(AND(B137="INM",N137&lt;&gt;"VF"),AND(N137="VF",B137&lt;&gt;"INM")),"",
        IF(AND(B137="INM",N137="VF"),IF(ISBLANK(H137),"",M137*H137),
        IF('Dados da OS'!$D$8=Parâmetros!$B$4,
           IF(OR(B137="CE",B137="EE"),4,IF(B137="SE",5,IF(B137="ALI",7,IF(B137="AIE",5,"")))),
        IF('Dados da OS'!$D$8=Parâmetros!$B$3,
           IF(OR(ISBLANK(D137),ISBLANK(F137)),"",
              IF(B137="ALI",IF(L137="L",7,IF(L137="A",10,15)),
                 IF(B137="AIE",IF(L137="L",5,IF(L137="A",7,10)),
                    IF(B137="SE",IF(L137="L",4,IF(L137="A",5,7)),
                       IF(OR(B137="EE",B137="CE"),IF(L137="L",3,IF(L137="A",4,6)),""))))))))),
   IF('Dados da OS'!$D$8=Parâmetros!$B$5,
      IF(OR(AND(B137="INM",N137&lt;&gt;"VF"),AND(N137="VF",B137&lt;&gt;"INM")),"",
         IF(B137="INM",IF(N137="VF",M137*H137,""),
            IF(B137="PE",4.6,
            IF(B137="AL",7,"")))),
   IF('Dados da OS'!$D$8=Parâmetros!$B$6,
      IF(B137="ALI",35,IF(B137="AIE",15,"")),""))
    )
)</f>
        <v/>
      </c>
      <c r="Q137" s="60" t="str">
        <f t="shared" si="19"/>
        <v/>
      </c>
      <c r="R137" s="61"/>
      <c r="S137" s="62"/>
      <c r="T137" s="80" t="s">
        <v>21</v>
      </c>
      <c r="U137" s="81"/>
      <c r="V137" s="99"/>
      <c r="W137" s="55"/>
      <c r="X137" s="55"/>
      <c r="Y137" s="56"/>
      <c r="Z137" s="55"/>
      <c r="AA137" s="56"/>
      <c r="AB137" s="55"/>
      <c r="AC137" s="57" t="str">
        <f t="shared" si="20"/>
        <v/>
      </c>
      <c r="AD137" s="57" t="str">
        <f t="shared" si="21"/>
        <v/>
      </c>
      <c r="AE137" s="57" t="str">
        <f xml:space="preserve">
IF(OR('Dados da OS'!$D$8=Parâmetros!$B$3,'Dados da OS'!$D$8=Parâmetros!$B$4),
  IF(OR(ISBLANK(X137),ISBLANK(Z137)),
     IF(OR(V137="ALI",V137="AIE"),"L",IF(ISBLANK(V137),"","A")),
     IF(V137="EE",IF(Z137&gt;=3,IF(X137&gt;=5,"H","A"),
     IF(Z137&gt;=2,IF(X137&gt;=16,"H",IF(X137&lt;=4,"L","A")),IF(X137&lt;=15,"L","A"))),
     IF(OR(V137="SE",V137="CE"),IF(Z137&gt;=4,IF(X137&gt;=6,"H","A"),IF(Z137&gt;=2,IF(X137&gt;=20,"H",IF(X137&lt;=5,"L","A")),IF(X137&lt;=19,"L","A"))),
     IF(OR(V137="ALI",V137="AIE"),IF(Z137&gt;=6,IF(X137&gt;=20,"H","A"),IF(Z137&gt;=2,IF(X137&gt;=51,"H",IF(X137&lt;=19,"L","A")),IF(X137&lt;=50,"L","A"))))))),
IF('Dados da OS'!$D$8=Parâmetros!$B$6,"Indicativa",
IF('Dados da OS'!$D$8=Parâmetros!$B$5,"PFS","")))</f>
        <v/>
      </c>
      <c r="AF137" s="57">
        <f>IFERROR(VLOOKUP(W137,'Fatores de Impacto e INMs'!$A$3:$D$32,3,0),1)</f>
        <v>1</v>
      </c>
      <c r="AG137" s="57">
        <f>IFERROR(VLOOKUP(W137,'Fatores de Impacto e INMs'!$A$3:$E$32,5,0),1)</f>
        <v>1</v>
      </c>
      <c r="AH137" s="82" t="str">
        <f xml:space="preserve">
IF(OR('Dados da OS'!$D$8="Selecione o tipo da contagem",ISBLANK('Dados da OS'!$D$8),V137="INM",V137="N/A",ISBLANK(V137),ISBLANK(W137),AG137="VF"),"-",
   IF('Dados da OS'!$D$8=Parâmetros!$B$3,
      IF(OR(ISBLANK(X137),ISBLANK(Z137)),"-",
         IF(AE137="L","Baixa",IF(AE137="A","Média",IF(AE137="H","Alta","-")))),
      IF('Dados da OS'!$D$8=Parâmetros!$B$4,
         IF(OR(V137="ALI",V137="AIE"),"Baixa",IF(OR(V137="EE",V137="SE",V137="CE"),"Média","-")),
         IF(OR('Dados da OS'!$D$8=Parâmetros!$B$5,'Dados da OS'!$D$8=Parâmetros!$B$6),"-"))))</f>
        <v>-</v>
      </c>
      <c r="AI137" s="83" t="str">
        <f xml:space="preserve">
IF(OR(ISBLANK(V137),ISBLANK(U137),ISBLANK(W137),V137="N/A",ISBLANK('Dados da OS'!$D$8)),"",
   IF(OR('Dados da OS'!$D$8=Parâmetros!$B$3,'Dados da OS'!$D$8=Parâmetros!$B$4),
      IF(OR(AND(V137="INM",AG137&lt;&gt;"VF"),AND(AG137="VF",V137&lt;&gt;"INM")),"",
        IF(AND(V137="INM",AG137="VF"),IF(ISBLANK(AB137),"",AF137*AB137),
        IF('Dados da OS'!$D$8=Parâmetros!$B$4,
           IF(OR(V137="CE",V137="EE"),4,IF(V137="SE",5,IF(V137="ALI",7,IF(V137="AIE",5,"")))),
        IF('Dados da OS'!$D$8=Parâmetros!$B$3,
           IF(OR(ISBLANK(X137),ISBLANK(Z137)),"",
              IF(V137="ALI",IF(AE137="L",7,IF(AE137="A",10,15)),
                 IF(V137="AIE",IF(AE137="L",5,IF(AE137="A",7,10)),
                    IF(V137="SE",IF(AE137="L",4,IF(AE137="A",5,7)),
                       IF(OR(V137="EE",V137="CE"),IF(AE137="L",3,IF(AE137="A",4,6)),""))))))))),
   IF('Dados da OS'!$D$8=Parâmetros!$B$5,
      IF(OR(AND(V137="INM",AG137&lt;&gt;"VF"),AND(AG137="VF",V137&lt;&gt;"INM")),"",
         IF(V137="INM",IF(AG137="VF",AF137*AB137,""),
            IF(V137="PE",4.6,
            IF(V137="AL",7,"")))),
   IF('Dados da OS'!$D$8=Parâmetros!$B$6,
      IF(V137="ALI",35,IF(V137="AIE",15,"")),""))
    )
)</f>
        <v/>
      </c>
      <c r="AJ137" s="82" t="str">
        <f t="shared" si="22"/>
        <v/>
      </c>
      <c r="AK137" s="84"/>
      <c r="AL137" s="85" t="s">
        <v>21</v>
      </c>
      <c r="AM137" s="86"/>
      <c r="AN137" s="85"/>
      <c r="AO137" s="87"/>
      <c r="AP137" s="85"/>
      <c r="AQ137" s="86"/>
      <c r="AR137" s="85"/>
    </row>
    <row r="138" spans="1:44" ht="15.75" customHeight="1">
      <c r="A138" s="54"/>
      <c r="B138" s="100"/>
      <c r="C138" s="55"/>
      <c r="D138" s="55"/>
      <c r="E138" s="56"/>
      <c r="F138" s="55"/>
      <c r="G138" s="56"/>
      <c r="H138" s="55"/>
      <c r="I138" s="64"/>
      <c r="J138" s="57" t="str">
        <f t="shared" si="17"/>
        <v/>
      </c>
      <c r="K138" s="57" t="str">
        <f t="shared" si="18"/>
        <v/>
      </c>
      <c r="L138" s="57" t="str">
        <f xml:space="preserve">
IF(OR('Dados da OS'!$D$8=Parâmetros!$B$3,'Dados da OS'!$D$8=Parâmetros!$B$4),
  IF(OR(ISBLANK(D138),ISBLANK(F138)),
     IF(OR(B138="ALI",B138="AIE"),"L",IF(ISBLANK(B138),"","A")),
     IF(B138="EE",IF(F138&gt;=3,IF(D138&gt;=5,"H","A"),
     IF(F138&gt;=2,IF(D138&gt;=16,"H",IF(D138&lt;=4,"L","A")),IF(D138&lt;=15,"L","A"))),
     IF(OR(B138="SE",B138="CE"),IF(F138&gt;=4,IF(D138&gt;=6,"H","A"),IF(F138&gt;=2,IF(D138&gt;=20,"H",IF(D138&lt;=5,"L","A")),IF(D138&lt;=19,"L","A"))),
     IF(OR(B138="ALI",B138="AIE"),IF(F138&gt;=6,IF(D138&gt;=20,"H","A"),IF(F138&gt;=2,IF(D138&gt;=51,"H",IF(D138&lt;=19,"L","A")),IF(D138&lt;=50,"L","A"))))))),
IF('Dados da OS'!$D$8=Parâmetros!$B$6,"Indicativa",
IF('Dados da OS'!$D$8=Parâmetros!$B$5,"PFS","")))</f>
        <v/>
      </c>
      <c r="M138" s="57">
        <f>IFERROR(VLOOKUP(C138,'Fatores de Impacto e INMs'!$A$3:$D$32,3,0),1)</f>
        <v>1</v>
      </c>
      <c r="N138" s="57">
        <f>IFERROR(VLOOKUP(C138,'Fatores de Impacto e INMs'!$A$3:$E$32,5,0),1)</f>
        <v>1</v>
      </c>
      <c r="O138" s="63" t="str">
        <f xml:space="preserve">
IF(OR('Dados da OS'!$D$8="Selecione o tipo da contagem",ISBLANK('Dados da OS'!$D$8),B138="INM",B138="N/A",ISBLANK(B138),ISBLANK(C138),N138="VF"),"-",
   IF('Dados da OS'!$D$8=Parâmetros!$B$3,
      IF(OR(ISBLANK(D138),ISBLANK(F138)),"-",
         IF(L138="L","Baixa",IF(L138="A","Média",IF(L138="H","Alta","-")))),
      IF('Dados da OS'!$D$8=Parâmetros!$B$4,
         IF(OR(B138="ALI",B138="AIE"),"Baixa",IF(OR(B138="EE",B138="SE",B138="CE"),"Média","-")),
         IF(OR('Dados da OS'!$D$8=Parâmetros!$B$5,'Dados da OS'!$D$8=Parâmetros!$B$6),"-"))))</f>
        <v>-</v>
      </c>
      <c r="P138" s="59" t="str">
        <f xml:space="preserve">
IF(OR(ISBLANK(B138),ISBLANK(C138),B138="N/A",ISBLANK('Dados da OS'!$D$8)),"",
   IF(OR('Dados da OS'!$D$8=Parâmetros!$B$3,'Dados da OS'!$D$8=Parâmetros!$B$4),
      IF(OR(AND(B138="INM",N138&lt;&gt;"VF"),AND(N138="VF",B138&lt;&gt;"INM")),"",
        IF(AND(B138="INM",N138="VF"),IF(ISBLANK(H138),"",M138*H138),
        IF('Dados da OS'!$D$8=Parâmetros!$B$4,
           IF(OR(B138="CE",B138="EE"),4,IF(B138="SE",5,IF(B138="ALI",7,IF(B138="AIE",5,"")))),
        IF('Dados da OS'!$D$8=Parâmetros!$B$3,
           IF(OR(ISBLANK(D138),ISBLANK(F138)),"",
              IF(B138="ALI",IF(L138="L",7,IF(L138="A",10,15)),
                 IF(B138="AIE",IF(L138="L",5,IF(L138="A",7,10)),
                    IF(B138="SE",IF(L138="L",4,IF(L138="A",5,7)),
                       IF(OR(B138="EE",B138="CE"),IF(L138="L",3,IF(L138="A",4,6)),""))))))))),
   IF('Dados da OS'!$D$8=Parâmetros!$B$5,
      IF(OR(AND(B138="INM",N138&lt;&gt;"VF"),AND(N138="VF",B138&lt;&gt;"INM")),"",
         IF(B138="INM",IF(N138="VF",M138*H138,""),
            IF(B138="PE",4.6,
            IF(B138="AL",7,"")))),
   IF('Dados da OS'!$D$8=Parâmetros!$B$6,
      IF(B138="ALI",35,IF(B138="AIE",15,"")),""))
    )
)</f>
        <v/>
      </c>
      <c r="Q138" s="60" t="str">
        <f t="shared" si="19"/>
        <v/>
      </c>
      <c r="R138" s="61"/>
      <c r="S138" s="62"/>
      <c r="T138" s="80" t="s">
        <v>21</v>
      </c>
      <c r="U138" s="81"/>
      <c r="V138" s="99"/>
      <c r="W138" s="55"/>
      <c r="X138" s="55"/>
      <c r="Y138" s="56"/>
      <c r="Z138" s="55"/>
      <c r="AA138" s="56"/>
      <c r="AB138" s="55"/>
      <c r="AC138" s="57" t="str">
        <f t="shared" si="20"/>
        <v/>
      </c>
      <c r="AD138" s="57" t="str">
        <f t="shared" si="21"/>
        <v/>
      </c>
      <c r="AE138" s="57" t="str">
        <f xml:space="preserve">
IF(OR('Dados da OS'!$D$8=Parâmetros!$B$3,'Dados da OS'!$D$8=Parâmetros!$B$4),
  IF(OR(ISBLANK(X138),ISBLANK(Z138)),
     IF(OR(V138="ALI",V138="AIE"),"L",IF(ISBLANK(V138),"","A")),
     IF(V138="EE",IF(Z138&gt;=3,IF(X138&gt;=5,"H","A"),
     IF(Z138&gt;=2,IF(X138&gt;=16,"H",IF(X138&lt;=4,"L","A")),IF(X138&lt;=15,"L","A"))),
     IF(OR(V138="SE",V138="CE"),IF(Z138&gt;=4,IF(X138&gt;=6,"H","A"),IF(Z138&gt;=2,IF(X138&gt;=20,"H",IF(X138&lt;=5,"L","A")),IF(X138&lt;=19,"L","A"))),
     IF(OR(V138="ALI",V138="AIE"),IF(Z138&gt;=6,IF(X138&gt;=20,"H","A"),IF(Z138&gt;=2,IF(X138&gt;=51,"H",IF(X138&lt;=19,"L","A")),IF(X138&lt;=50,"L","A"))))))),
IF('Dados da OS'!$D$8=Parâmetros!$B$6,"Indicativa",
IF('Dados da OS'!$D$8=Parâmetros!$B$5,"PFS","")))</f>
        <v/>
      </c>
      <c r="AF138" s="57">
        <f>IFERROR(VLOOKUP(W138,'Fatores de Impacto e INMs'!$A$3:$D$32,3,0),1)</f>
        <v>1</v>
      </c>
      <c r="AG138" s="57">
        <f>IFERROR(VLOOKUP(W138,'Fatores de Impacto e INMs'!$A$3:$E$32,5,0),1)</f>
        <v>1</v>
      </c>
      <c r="AH138" s="82" t="str">
        <f xml:space="preserve">
IF(OR('Dados da OS'!$D$8="Selecione o tipo da contagem",ISBLANK('Dados da OS'!$D$8),V138="INM",V138="N/A",ISBLANK(V138),ISBLANK(W138),AG138="VF"),"-",
   IF('Dados da OS'!$D$8=Parâmetros!$B$3,
      IF(OR(ISBLANK(X138),ISBLANK(Z138)),"-",
         IF(AE138="L","Baixa",IF(AE138="A","Média",IF(AE138="H","Alta","-")))),
      IF('Dados da OS'!$D$8=Parâmetros!$B$4,
         IF(OR(V138="ALI",V138="AIE"),"Baixa",IF(OR(V138="EE",V138="SE",V138="CE"),"Média","-")),
         IF(OR('Dados da OS'!$D$8=Parâmetros!$B$5,'Dados da OS'!$D$8=Parâmetros!$B$6),"-"))))</f>
        <v>-</v>
      </c>
      <c r="AI138" s="83" t="str">
        <f xml:space="preserve">
IF(OR(ISBLANK(V138),ISBLANK(U138),ISBLANK(W138),V138="N/A",ISBLANK('Dados da OS'!$D$8)),"",
   IF(OR('Dados da OS'!$D$8=Parâmetros!$B$3,'Dados da OS'!$D$8=Parâmetros!$B$4),
      IF(OR(AND(V138="INM",AG138&lt;&gt;"VF"),AND(AG138="VF",V138&lt;&gt;"INM")),"",
        IF(AND(V138="INM",AG138="VF"),IF(ISBLANK(AB138),"",AF138*AB138),
        IF('Dados da OS'!$D$8=Parâmetros!$B$4,
           IF(OR(V138="CE",V138="EE"),4,IF(V138="SE",5,IF(V138="ALI",7,IF(V138="AIE",5,"")))),
        IF('Dados da OS'!$D$8=Parâmetros!$B$3,
           IF(OR(ISBLANK(X138),ISBLANK(Z138)),"",
              IF(V138="ALI",IF(AE138="L",7,IF(AE138="A",10,15)),
                 IF(V138="AIE",IF(AE138="L",5,IF(AE138="A",7,10)),
                    IF(V138="SE",IF(AE138="L",4,IF(AE138="A",5,7)),
                       IF(OR(V138="EE",V138="CE"),IF(AE138="L",3,IF(AE138="A",4,6)),""))))))))),
   IF('Dados da OS'!$D$8=Parâmetros!$B$5,
      IF(OR(AND(V138="INM",AG138&lt;&gt;"VF"),AND(AG138="VF",V138&lt;&gt;"INM")),"",
         IF(V138="INM",IF(AG138="VF",AF138*AB138,""),
            IF(V138="PE",4.6,
            IF(V138="AL",7,"")))),
   IF('Dados da OS'!$D$8=Parâmetros!$B$6,
      IF(V138="ALI",35,IF(V138="AIE",15,"")),""))
    )
)</f>
        <v/>
      </c>
      <c r="AJ138" s="82" t="str">
        <f t="shared" si="22"/>
        <v/>
      </c>
      <c r="AK138" s="84"/>
      <c r="AL138" s="85" t="s">
        <v>21</v>
      </c>
      <c r="AM138" s="86"/>
      <c r="AN138" s="85"/>
      <c r="AO138" s="87"/>
      <c r="AP138" s="85"/>
      <c r="AQ138" s="86"/>
      <c r="AR138" s="85"/>
    </row>
    <row r="139" spans="1:44" ht="15.75" customHeight="1">
      <c r="A139" s="54"/>
      <c r="B139" s="100"/>
      <c r="C139" s="55"/>
      <c r="D139" s="55"/>
      <c r="E139" s="56"/>
      <c r="F139" s="55"/>
      <c r="G139" s="56"/>
      <c r="H139" s="55"/>
      <c r="I139" s="64"/>
      <c r="J139" s="57" t="str">
        <f t="shared" si="17"/>
        <v/>
      </c>
      <c r="K139" s="57" t="str">
        <f t="shared" si="18"/>
        <v/>
      </c>
      <c r="L139" s="57" t="str">
        <f xml:space="preserve">
IF(OR('Dados da OS'!$D$8=Parâmetros!$B$3,'Dados da OS'!$D$8=Parâmetros!$B$4),
  IF(OR(ISBLANK(D139),ISBLANK(F139)),
     IF(OR(B139="ALI",B139="AIE"),"L",IF(ISBLANK(B139),"","A")),
     IF(B139="EE",IF(F139&gt;=3,IF(D139&gt;=5,"H","A"),
     IF(F139&gt;=2,IF(D139&gt;=16,"H",IF(D139&lt;=4,"L","A")),IF(D139&lt;=15,"L","A"))),
     IF(OR(B139="SE",B139="CE"),IF(F139&gt;=4,IF(D139&gt;=6,"H","A"),IF(F139&gt;=2,IF(D139&gt;=20,"H",IF(D139&lt;=5,"L","A")),IF(D139&lt;=19,"L","A"))),
     IF(OR(B139="ALI",B139="AIE"),IF(F139&gt;=6,IF(D139&gt;=20,"H","A"),IF(F139&gt;=2,IF(D139&gt;=51,"H",IF(D139&lt;=19,"L","A")),IF(D139&lt;=50,"L","A"))))))),
IF('Dados da OS'!$D$8=Parâmetros!$B$6,"Indicativa",
IF('Dados da OS'!$D$8=Parâmetros!$B$5,"PFS","")))</f>
        <v/>
      </c>
      <c r="M139" s="57">
        <f>IFERROR(VLOOKUP(C139,'Fatores de Impacto e INMs'!$A$3:$D$32,3,0),1)</f>
        <v>1</v>
      </c>
      <c r="N139" s="57">
        <f>IFERROR(VLOOKUP(C139,'Fatores de Impacto e INMs'!$A$3:$E$32,5,0),1)</f>
        <v>1</v>
      </c>
      <c r="O139" s="63" t="str">
        <f xml:space="preserve">
IF(OR('Dados da OS'!$D$8="Selecione o tipo da contagem",ISBLANK('Dados da OS'!$D$8),B139="INM",B139="N/A",ISBLANK(B139),ISBLANK(C139),N139="VF"),"-",
   IF('Dados da OS'!$D$8=Parâmetros!$B$3,
      IF(OR(ISBLANK(D139),ISBLANK(F139)),"-",
         IF(L139="L","Baixa",IF(L139="A","Média",IF(L139="H","Alta","-")))),
      IF('Dados da OS'!$D$8=Parâmetros!$B$4,
         IF(OR(B139="ALI",B139="AIE"),"Baixa",IF(OR(B139="EE",B139="SE",B139="CE"),"Média","-")),
         IF(OR('Dados da OS'!$D$8=Parâmetros!$B$5,'Dados da OS'!$D$8=Parâmetros!$B$6),"-"))))</f>
        <v>-</v>
      </c>
      <c r="P139" s="59" t="str">
        <f xml:space="preserve">
IF(OR(ISBLANK(B139),ISBLANK(C139),B139="N/A",ISBLANK('Dados da OS'!$D$8)),"",
   IF(OR('Dados da OS'!$D$8=Parâmetros!$B$3,'Dados da OS'!$D$8=Parâmetros!$B$4),
      IF(OR(AND(B139="INM",N139&lt;&gt;"VF"),AND(N139="VF",B139&lt;&gt;"INM")),"",
        IF(AND(B139="INM",N139="VF"),IF(ISBLANK(H139),"",M139*H139),
        IF('Dados da OS'!$D$8=Parâmetros!$B$4,
           IF(OR(B139="CE",B139="EE"),4,IF(B139="SE",5,IF(B139="ALI",7,IF(B139="AIE",5,"")))),
        IF('Dados da OS'!$D$8=Parâmetros!$B$3,
           IF(OR(ISBLANK(D139),ISBLANK(F139)),"",
              IF(B139="ALI",IF(L139="L",7,IF(L139="A",10,15)),
                 IF(B139="AIE",IF(L139="L",5,IF(L139="A",7,10)),
                    IF(B139="SE",IF(L139="L",4,IF(L139="A",5,7)),
                       IF(OR(B139="EE",B139="CE"),IF(L139="L",3,IF(L139="A",4,6)),""))))))))),
   IF('Dados da OS'!$D$8=Parâmetros!$B$5,
      IF(OR(AND(B139="INM",N139&lt;&gt;"VF"),AND(N139="VF",B139&lt;&gt;"INM")),"",
         IF(B139="INM",IF(N139="VF",M139*H139,""),
            IF(B139="PE",4.6,
            IF(B139="AL",7,"")))),
   IF('Dados da OS'!$D$8=Parâmetros!$B$6,
      IF(B139="ALI",35,IF(B139="AIE",15,"")),""))
    )
)</f>
        <v/>
      </c>
      <c r="Q139" s="60" t="str">
        <f t="shared" si="19"/>
        <v/>
      </c>
      <c r="R139" s="61"/>
      <c r="S139" s="62"/>
      <c r="T139" s="80" t="s">
        <v>21</v>
      </c>
      <c r="U139" s="81"/>
      <c r="V139" s="99"/>
      <c r="W139" s="55"/>
      <c r="X139" s="55"/>
      <c r="Y139" s="56"/>
      <c r="Z139" s="55"/>
      <c r="AA139" s="56"/>
      <c r="AB139" s="55"/>
      <c r="AC139" s="57" t="str">
        <f t="shared" si="20"/>
        <v/>
      </c>
      <c r="AD139" s="57" t="str">
        <f t="shared" si="21"/>
        <v/>
      </c>
      <c r="AE139" s="57" t="str">
        <f xml:space="preserve">
IF(OR('Dados da OS'!$D$8=Parâmetros!$B$3,'Dados da OS'!$D$8=Parâmetros!$B$4),
  IF(OR(ISBLANK(X139),ISBLANK(Z139)),
     IF(OR(V139="ALI",V139="AIE"),"L",IF(ISBLANK(V139),"","A")),
     IF(V139="EE",IF(Z139&gt;=3,IF(X139&gt;=5,"H","A"),
     IF(Z139&gt;=2,IF(X139&gt;=16,"H",IF(X139&lt;=4,"L","A")),IF(X139&lt;=15,"L","A"))),
     IF(OR(V139="SE",V139="CE"),IF(Z139&gt;=4,IF(X139&gt;=6,"H","A"),IF(Z139&gt;=2,IF(X139&gt;=20,"H",IF(X139&lt;=5,"L","A")),IF(X139&lt;=19,"L","A"))),
     IF(OR(V139="ALI",V139="AIE"),IF(Z139&gt;=6,IF(X139&gt;=20,"H","A"),IF(Z139&gt;=2,IF(X139&gt;=51,"H",IF(X139&lt;=19,"L","A")),IF(X139&lt;=50,"L","A"))))))),
IF('Dados da OS'!$D$8=Parâmetros!$B$6,"Indicativa",
IF('Dados da OS'!$D$8=Parâmetros!$B$5,"PFS","")))</f>
        <v/>
      </c>
      <c r="AF139" s="57">
        <f>IFERROR(VLOOKUP(W139,'Fatores de Impacto e INMs'!$A$3:$D$32,3,0),1)</f>
        <v>1</v>
      </c>
      <c r="AG139" s="57">
        <f>IFERROR(VLOOKUP(W139,'Fatores de Impacto e INMs'!$A$3:$E$32,5,0),1)</f>
        <v>1</v>
      </c>
      <c r="AH139" s="82" t="str">
        <f xml:space="preserve">
IF(OR('Dados da OS'!$D$8="Selecione o tipo da contagem",ISBLANK('Dados da OS'!$D$8),V139="INM",V139="N/A",ISBLANK(V139),ISBLANK(W139),AG139="VF"),"-",
   IF('Dados da OS'!$D$8=Parâmetros!$B$3,
      IF(OR(ISBLANK(X139),ISBLANK(Z139)),"-",
         IF(AE139="L","Baixa",IF(AE139="A","Média",IF(AE139="H","Alta","-")))),
      IF('Dados da OS'!$D$8=Parâmetros!$B$4,
         IF(OR(V139="ALI",V139="AIE"),"Baixa",IF(OR(V139="EE",V139="SE",V139="CE"),"Média","-")),
         IF(OR('Dados da OS'!$D$8=Parâmetros!$B$5,'Dados da OS'!$D$8=Parâmetros!$B$6),"-"))))</f>
        <v>-</v>
      </c>
      <c r="AI139" s="83" t="str">
        <f xml:space="preserve">
IF(OR(ISBLANK(V139),ISBLANK(U139),ISBLANK(W139),V139="N/A",ISBLANK('Dados da OS'!$D$8)),"",
   IF(OR('Dados da OS'!$D$8=Parâmetros!$B$3,'Dados da OS'!$D$8=Parâmetros!$B$4),
      IF(OR(AND(V139="INM",AG139&lt;&gt;"VF"),AND(AG139="VF",V139&lt;&gt;"INM")),"",
        IF(AND(V139="INM",AG139="VF"),IF(ISBLANK(AB139),"",AF139*AB139),
        IF('Dados da OS'!$D$8=Parâmetros!$B$4,
           IF(OR(V139="CE",V139="EE"),4,IF(V139="SE",5,IF(V139="ALI",7,IF(V139="AIE",5,"")))),
        IF('Dados da OS'!$D$8=Parâmetros!$B$3,
           IF(OR(ISBLANK(X139),ISBLANK(Z139)),"",
              IF(V139="ALI",IF(AE139="L",7,IF(AE139="A",10,15)),
                 IF(V139="AIE",IF(AE139="L",5,IF(AE139="A",7,10)),
                    IF(V139="SE",IF(AE139="L",4,IF(AE139="A",5,7)),
                       IF(OR(V139="EE",V139="CE"),IF(AE139="L",3,IF(AE139="A",4,6)),""))))))))),
   IF('Dados da OS'!$D$8=Parâmetros!$B$5,
      IF(OR(AND(V139="INM",AG139&lt;&gt;"VF"),AND(AG139="VF",V139&lt;&gt;"INM")),"",
         IF(V139="INM",IF(AG139="VF",AF139*AB139,""),
            IF(V139="PE",4.6,
            IF(V139="AL",7,"")))),
   IF('Dados da OS'!$D$8=Parâmetros!$B$6,
      IF(V139="ALI",35,IF(V139="AIE",15,"")),""))
    )
)</f>
        <v/>
      </c>
      <c r="AJ139" s="82" t="str">
        <f t="shared" si="22"/>
        <v/>
      </c>
      <c r="AK139" s="84"/>
      <c r="AL139" s="85" t="s">
        <v>21</v>
      </c>
      <c r="AM139" s="86"/>
      <c r="AN139" s="85"/>
      <c r="AO139" s="87"/>
      <c r="AP139" s="85"/>
      <c r="AQ139" s="86"/>
      <c r="AR139" s="85"/>
    </row>
    <row r="140" spans="1:44" ht="15.75" customHeight="1">
      <c r="A140" s="54"/>
      <c r="B140" s="100"/>
      <c r="C140" s="55"/>
      <c r="D140" s="55"/>
      <c r="E140" s="56"/>
      <c r="F140" s="55"/>
      <c r="G140" s="56"/>
      <c r="H140" s="55"/>
      <c r="I140" s="64"/>
      <c r="J140" s="57" t="str">
        <f t="shared" si="17"/>
        <v/>
      </c>
      <c r="K140" s="57" t="str">
        <f t="shared" si="18"/>
        <v/>
      </c>
      <c r="L140" s="57" t="str">
        <f xml:space="preserve">
IF(OR('Dados da OS'!$D$8=Parâmetros!$B$3,'Dados da OS'!$D$8=Parâmetros!$B$4),
  IF(OR(ISBLANK(D140),ISBLANK(F140)),
     IF(OR(B140="ALI",B140="AIE"),"L",IF(ISBLANK(B140),"","A")),
     IF(B140="EE",IF(F140&gt;=3,IF(D140&gt;=5,"H","A"),
     IF(F140&gt;=2,IF(D140&gt;=16,"H",IF(D140&lt;=4,"L","A")),IF(D140&lt;=15,"L","A"))),
     IF(OR(B140="SE",B140="CE"),IF(F140&gt;=4,IF(D140&gt;=6,"H","A"),IF(F140&gt;=2,IF(D140&gt;=20,"H",IF(D140&lt;=5,"L","A")),IF(D140&lt;=19,"L","A"))),
     IF(OR(B140="ALI",B140="AIE"),IF(F140&gt;=6,IF(D140&gt;=20,"H","A"),IF(F140&gt;=2,IF(D140&gt;=51,"H",IF(D140&lt;=19,"L","A")),IF(D140&lt;=50,"L","A"))))))),
IF('Dados da OS'!$D$8=Parâmetros!$B$6,"Indicativa",
IF('Dados da OS'!$D$8=Parâmetros!$B$5,"PFS","")))</f>
        <v/>
      </c>
      <c r="M140" s="57">
        <f>IFERROR(VLOOKUP(C140,'Fatores de Impacto e INMs'!$A$3:$D$32,3,0),1)</f>
        <v>1</v>
      </c>
      <c r="N140" s="57">
        <f>IFERROR(VLOOKUP(C140,'Fatores de Impacto e INMs'!$A$3:$E$32,5,0),1)</f>
        <v>1</v>
      </c>
      <c r="O140" s="63" t="str">
        <f xml:space="preserve">
IF(OR('Dados da OS'!$D$8="Selecione o tipo da contagem",ISBLANK('Dados da OS'!$D$8),B140="INM",B140="N/A",ISBLANK(B140),ISBLANK(C140),N140="VF"),"-",
   IF('Dados da OS'!$D$8=Parâmetros!$B$3,
      IF(OR(ISBLANK(D140),ISBLANK(F140)),"-",
         IF(L140="L","Baixa",IF(L140="A","Média",IF(L140="H","Alta","-")))),
      IF('Dados da OS'!$D$8=Parâmetros!$B$4,
         IF(OR(B140="ALI",B140="AIE"),"Baixa",IF(OR(B140="EE",B140="SE",B140="CE"),"Média","-")),
         IF(OR('Dados da OS'!$D$8=Parâmetros!$B$5,'Dados da OS'!$D$8=Parâmetros!$B$6),"-"))))</f>
        <v>-</v>
      </c>
      <c r="P140" s="59" t="str">
        <f xml:space="preserve">
IF(OR(ISBLANK(B140),ISBLANK(C140),B140="N/A",ISBLANK('Dados da OS'!$D$8)),"",
   IF(OR('Dados da OS'!$D$8=Parâmetros!$B$3,'Dados da OS'!$D$8=Parâmetros!$B$4),
      IF(OR(AND(B140="INM",N140&lt;&gt;"VF"),AND(N140="VF",B140&lt;&gt;"INM")),"",
        IF(AND(B140="INM",N140="VF"),IF(ISBLANK(H140),"",M140*H140),
        IF('Dados da OS'!$D$8=Parâmetros!$B$4,
           IF(OR(B140="CE",B140="EE"),4,IF(B140="SE",5,IF(B140="ALI",7,IF(B140="AIE",5,"")))),
        IF('Dados da OS'!$D$8=Parâmetros!$B$3,
           IF(OR(ISBLANK(D140),ISBLANK(F140)),"",
              IF(B140="ALI",IF(L140="L",7,IF(L140="A",10,15)),
                 IF(B140="AIE",IF(L140="L",5,IF(L140="A",7,10)),
                    IF(B140="SE",IF(L140="L",4,IF(L140="A",5,7)),
                       IF(OR(B140="EE",B140="CE"),IF(L140="L",3,IF(L140="A",4,6)),""))))))))),
   IF('Dados da OS'!$D$8=Parâmetros!$B$5,
      IF(OR(AND(B140="INM",N140&lt;&gt;"VF"),AND(N140="VF",B140&lt;&gt;"INM")),"",
         IF(B140="INM",IF(N140="VF",M140*H140,""),
            IF(B140="PE",4.6,
            IF(B140="AL",7,"")))),
   IF('Dados da OS'!$D$8=Parâmetros!$B$6,
      IF(B140="ALI",35,IF(B140="AIE",15,"")),""))
    )
)</f>
        <v/>
      </c>
      <c r="Q140" s="60" t="str">
        <f t="shared" si="19"/>
        <v/>
      </c>
      <c r="R140" s="61"/>
      <c r="S140" s="62"/>
      <c r="T140" s="80" t="s">
        <v>21</v>
      </c>
      <c r="U140" s="81"/>
      <c r="V140" s="99"/>
      <c r="W140" s="55"/>
      <c r="X140" s="55"/>
      <c r="Y140" s="56"/>
      <c r="Z140" s="55"/>
      <c r="AA140" s="56"/>
      <c r="AB140" s="55"/>
      <c r="AC140" s="57" t="str">
        <f t="shared" si="20"/>
        <v/>
      </c>
      <c r="AD140" s="57" t="str">
        <f t="shared" si="21"/>
        <v/>
      </c>
      <c r="AE140" s="57" t="str">
        <f xml:space="preserve">
IF(OR('Dados da OS'!$D$8=Parâmetros!$B$3,'Dados da OS'!$D$8=Parâmetros!$B$4),
  IF(OR(ISBLANK(X140),ISBLANK(Z140)),
     IF(OR(V140="ALI",V140="AIE"),"L",IF(ISBLANK(V140),"","A")),
     IF(V140="EE",IF(Z140&gt;=3,IF(X140&gt;=5,"H","A"),
     IF(Z140&gt;=2,IF(X140&gt;=16,"H",IF(X140&lt;=4,"L","A")),IF(X140&lt;=15,"L","A"))),
     IF(OR(V140="SE",V140="CE"),IF(Z140&gt;=4,IF(X140&gt;=6,"H","A"),IF(Z140&gt;=2,IF(X140&gt;=20,"H",IF(X140&lt;=5,"L","A")),IF(X140&lt;=19,"L","A"))),
     IF(OR(V140="ALI",V140="AIE"),IF(Z140&gt;=6,IF(X140&gt;=20,"H","A"),IF(Z140&gt;=2,IF(X140&gt;=51,"H",IF(X140&lt;=19,"L","A")),IF(X140&lt;=50,"L","A"))))))),
IF('Dados da OS'!$D$8=Parâmetros!$B$6,"Indicativa",
IF('Dados da OS'!$D$8=Parâmetros!$B$5,"PFS","")))</f>
        <v/>
      </c>
      <c r="AF140" s="57">
        <f>IFERROR(VLOOKUP(W140,'Fatores de Impacto e INMs'!$A$3:$D$32,3,0),1)</f>
        <v>1</v>
      </c>
      <c r="AG140" s="57">
        <f>IFERROR(VLOOKUP(W140,'Fatores de Impacto e INMs'!$A$3:$E$32,5,0),1)</f>
        <v>1</v>
      </c>
      <c r="AH140" s="82" t="str">
        <f xml:space="preserve">
IF(OR('Dados da OS'!$D$8="Selecione o tipo da contagem",ISBLANK('Dados da OS'!$D$8),V140="INM",V140="N/A",ISBLANK(V140),ISBLANK(W140),AG140="VF"),"-",
   IF('Dados da OS'!$D$8=Parâmetros!$B$3,
      IF(OR(ISBLANK(X140),ISBLANK(Z140)),"-",
         IF(AE140="L","Baixa",IF(AE140="A","Média",IF(AE140="H","Alta","-")))),
      IF('Dados da OS'!$D$8=Parâmetros!$B$4,
         IF(OR(V140="ALI",V140="AIE"),"Baixa",IF(OR(V140="EE",V140="SE",V140="CE"),"Média","-")),
         IF(OR('Dados da OS'!$D$8=Parâmetros!$B$5,'Dados da OS'!$D$8=Parâmetros!$B$6),"-"))))</f>
        <v>-</v>
      </c>
      <c r="AI140" s="83" t="str">
        <f xml:space="preserve">
IF(OR(ISBLANK(V140),ISBLANK(U140),ISBLANK(W140),V140="N/A",ISBLANK('Dados da OS'!$D$8)),"",
   IF(OR('Dados da OS'!$D$8=Parâmetros!$B$3,'Dados da OS'!$D$8=Parâmetros!$B$4),
      IF(OR(AND(V140="INM",AG140&lt;&gt;"VF"),AND(AG140="VF",V140&lt;&gt;"INM")),"",
        IF(AND(V140="INM",AG140="VF"),IF(ISBLANK(AB140),"",AF140*AB140),
        IF('Dados da OS'!$D$8=Parâmetros!$B$4,
           IF(OR(V140="CE",V140="EE"),4,IF(V140="SE",5,IF(V140="ALI",7,IF(V140="AIE",5,"")))),
        IF('Dados da OS'!$D$8=Parâmetros!$B$3,
           IF(OR(ISBLANK(X140),ISBLANK(Z140)),"",
              IF(V140="ALI",IF(AE140="L",7,IF(AE140="A",10,15)),
                 IF(V140="AIE",IF(AE140="L",5,IF(AE140="A",7,10)),
                    IF(V140="SE",IF(AE140="L",4,IF(AE140="A",5,7)),
                       IF(OR(V140="EE",V140="CE"),IF(AE140="L",3,IF(AE140="A",4,6)),""))))))))),
   IF('Dados da OS'!$D$8=Parâmetros!$B$5,
      IF(OR(AND(V140="INM",AG140&lt;&gt;"VF"),AND(AG140="VF",V140&lt;&gt;"INM")),"",
         IF(V140="INM",IF(AG140="VF",AF140*AB140,""),
            IF(V140="PE",4.6,
            IF(V140="AL",7,"")))),
   IF('Dados da OS'!$D$8=Parâmetros!$B$6,
      IF(V140="ALI",35,IF(V140="AIE",15,"")),""))
    )
)</f>
        <v/>
      </c>
      <c r="AJ140" s="82" t="str">
        <f t="shared" si="22"/>
        <v/>
      </c>
      <c r="AK140" s="84"/>
      <c r="AL140" s="85" t="s">
        <v>21</v>
      </c>
      <c r="AM140" s="86"/>
      <c r="AN140" s="85"/>
      <c r="AO140" s="87"/>
      <c r="AP140" s="85"/>
      <c r="AQ140" s="86"/>
      <c r="AR140" s="85"/>
    </row>
    <row r="141" spans="1:44" ht="15.75" customHeight="1">
      <c r="A141" s="54"/>
      <c r="B141" s="100"/>
      <c r="C141" s="55"/>
      <c r="D141" s="55"/>
      <c r="E141" s="56"/>
      <c r="F141" s="55"/>
      <c r="G141" s="56"/>
      <c r="H141" s="55"/>
      <c r="I141" s="64"/>
      <c r="J141" s="57" t="str">
        <f t="shared" si="17"/>
        <v/>
      </c>
      <c r="K141" s="57" t="str">
        <f t="shared" si="18"/>
        <v/>
      </c>
      <c r="L141" s="57" t="str">
        <f xml:space="preserve">
IF(OR('Dados da OS'!$D$8=Parâmetros!$B$3,'Dados da OS'!$D$8=Parâmetros!$B$4),
  IF(OR(ISBLANK(D141),ISBLANK(F141)),
     IF(OR(B141="ALI",B141="AIE"),"L",IF(ISBLANK(B141),"","A")),
     IF(B141="EE",IF(F141&gt;=3,IF(D141&gt;=5,"H","A"),
     IF(F141&gt;=2,IF(D141&gt;=16,"H",IF(D141&lt;=4,"L","A")),IF(D141&lt;=15,"L","A"))),
     IF(OR(B141="SE",B141="CE"),IF(F141&gt;=4,IF(D141&gt;=6,"H","A"),IF(F141&gt;=2,IF(D141&gt;=20,"H",IF(D141&lt;=5,"L","A")),IF(D141&lt;=19,"L","A"))),
     IF(OR(B141="ALI",B141="AIE"),IF(F141&gt;=6,IF(D141&gt;=20,"H","A"),IF(F141&gt;=2,IF(D141&gt;=51,"H",IF(D141&lt;=19,"L","A")),IF(D141&lt;=50,"L","A"))))))),
IF('Dados da OS'!$D$8=Parâmetros!$B$6,"Indicativa",
IF('Dados da OS'!$D$8=Parâmetros!$B$5,"PFS","")))</f>
        <v/>
      </c>
      <c r="M141" s="57">
        <f>IFERROR(VLOOKUP(C141,'Fatores de Impacto e INMs'!$A$3:$D$32,3,0),1)</f>
        <v>1</v>
      </c>
      <c r="N141" s="57">
        <f>IFERROR(VLOOKUP(C141,'Fatores de Impacto e INMs'!$A$3:$E$32,5,0),1)</f>
        <v>1</v>
      </c>
      <c r="O141" s="63" t="str">
        <f xml:space="preserve">
IF(OR('Dados da OS'!$D$8="Selecione o tipo da contagem",ISBLANK('Dados da OS'!$D$8),B141="INM",B141="N/A",ISBLANK(B141),ISBLANK(C141),N141="VF"),"-",
   IF('Dados da OS'!$D$8=Parâmetros!$B$3,
      IF(OR(ISBLANK(D141),ISBLANK(F141)),"-",
         IF(L141="L","Baixa",IF(L141="A","Média",IF(L141="H","Alta","-")))),
      IF('Dados da OS'!$D$8=Parâmetros!$B$4,
         IF(OR(B141="ALI",B141="AIE"),"Baixa",IF(OR(B141="EE",B141="SE",B141="CE"),"Média","-")),
         IF(OR('Dados da OS'!$D$8=Parâmetros!$B$5,'Dados da OS'!$D$8=Parâmetros!$B$6),"-"))))</f>
        <v>-</v>
      </c>
      <c r="P141" s="59" t="str">
        <f xml:space="preserve">
IF(OR(ISBLANK(B141),ISBLANK(C141),B141="N/A",ISBLANK('Dados da OS'!$D$8)),"",
   IF(OR('Dados da OS'!$D$8=Parâmetros!$B$3,'Dados da OS'!$D$8=Parâmetros!$B$4),
      IF(OR(AND(B141="INM",N141&lt;&gt;"VF"),AND(N141="VF",B141&lt;&gt;"INM")),"",
        IF(AND(B141="INM",N141="VF"),IF(ISBLANK(H141),"",M141*H141),
        IF('Dados da OS'!$D$8=Parâmetros!$B$4,
           IF(OR(B141="CE",B141="EE"),4,IF(B141="SE",5,IF(B141="ALI",7,IF(B141="AIE",5,"")))),
        IF('Dados da OS'!$D$8=Parâmetros!$B$3,
           IF(OR(ISBLANK(D141),ISBLANK(F141)),"",
              IF(B141="ALI",IF(L141="L",7,IF(L141="A",10,15)),
                 IF(B141="AIE",IF(L141="L",5,IF(L141="A",7,10)),
                    IF(B141="SE",IF(L141="L",4,IF(L141="A",5,7)),
                       IF(OR(B141="EE",B141="CE"),IF(L141="L",3,IF(L141="A",4,6)),""))))))))),
   IF('Dados da OS'!$D$8=Parâmetros!$B$5,
      IF(OR(AND(B141="INM",N141&lt;&gt;"VF"),AND(N141="VF",B141&lt;&gt;"INM")),"",
         IF(B141="INM",IF(N141="VF",M141*H141,""),
            IF(B141="PE",4.6,
            IF(B141="AL",7,"")))),
   IF('Dados da OS'!$D$8=Parâmetros!$B$6,
      IF(B141="ALI",35,IF(B141="AIE",15,"")),""))
    )
)</f>
        <v/>
      </c>
      <c r="Q141" s="60" t="str">
        <f t="shared" si="19"/>
        <v/>
      </c>
      <c r="R141" s="61"/>
      <c r="S141" s="62"/>
      <c r="T141" s="80" t="s">
        <v>21</v>
      </c>
      <c r="U141" s="81"/>
      <c r="V141" s="99"/>
      <c r="W141" s="55"/>
      <c r="X141" s="55"/>
      <c r="Y141" s="56"/>
      <c r="Z141" s="55"/>
      <c r="AA141" s="56"/>
      <c r="AB141" s="55"/>
      <c r="AC141" s="57" t="str">
        <f t="shared" si="20"/>
        <v/>
      </c>
      <c r="AD141" s="57" t="str">
        <f t="shared" si="21"/>
        <v/>
      </c>
      <c r="AE141" s="57" t="str">
        <f xml:space="preserve">
IF(OR('Dados da OS'!$D$8=Parâmetros!$B$3,'Dados da OS'!$D$8=Parâmetros!$B$4),
  IF(OR(ISBLANK(X141),ISBLANK(Z141)),
     IF(OR(V141="ALI",V141="AIE"),"L",IF(ISBLANK(V141),"","A")),
     IF(V141="EE",IF(Z141&gt;=3,IF(X141&gt;=5,"H","A"),
     IF(Z141&gt;=2,IF(X141&gt;=16,"H",IF(X141&lt;=4,"L","A")),IF(X141&lt;=15,"L","A"))),
     IF(OR(V141="SE",V141="CE"),IF(Z141&gt;=4,IF(X141&gt;=6,"H","A"),IF(Z141&gt;=2,IF(X141&gt;=20,"H",IF(X141&lt;=5,"L","A")),IF(X141&lt;=19,"L","A"))),
     IF(OR(V141="ALI",V141="AIE"),IF(Z141&gt;=6,IF(X141&gt;=20,"H","A"),IF(Z141&gt;=2,IF(X141&gt;=51,"H",IF(X141&lt;=19,"L","A")),IF(X141&lt;=50,"L","A"))))))),
IF('Dados da OS'!$D$8=Parâmetros!$B$6,"Indicativa",
IF('Dados da OS'!$D$8=Parâmetros!$B$5,"PFS","")))</f>
        <v/>
      </c>
      <c r="AF141" s="57">
        <f>IFERROR(VLOOKUP(W141,'Fatores de Impacto e INMs'!$A$3:$D$32,3,0),1)</f>
        <v>1</v>
      </c>
      <c r="AG141" s="57">
        <f>IFERROR(VLOOKUP(W141,'Fatores de Impacto e INMs'!$A$3:$E$32,5,0),1)</f>
        <v>1</v>
      </c>
      <c r="AH141" s="82" t="str">
        <f xml:space="preserve">
IF(OR('Dados da OS'!$D$8="Selecione o tipo da contagem",ISBLANK('Dados da OS'!$D$8),V141="INM",V141="N/A",ISBLANK(V141),ISBLANK(W141),AG141="VF"),"-",
   IF('Dados da OS'!$D$8=Parâmetros!$B$3,
      IF(OR(ISBLANK(X141),ISBLANK(Z141)),"-",
         IF(AE141="L","Baixa",IF(AE141="A","Média",IF(AE141="H","Alta","-")))),
      IF('Dados da OS'!$D$8=Parâmetros!$B$4,
         IF(OR(V141="ALI",V141="AIE"),"Baixa",IF(OR(V141="EE",V141="SE",V141="CE"),"Média","-")),
         IF(OR('Dados da OS'!$D$8=Parâmetros!$B$5,'Dados da OS'!$D$8=Parâmetros!$B$6),"-"))))</f>
        <v>-</v>
      </c>
      <c r="AI141" s="83" t="str">
        <f xml:space="preserve">
IF(OR(ISBLANK(V141),ISBLANK(U141),ISBLANK(W141),V141="N/A",ISBLANK('Dados da OS'!$D$8)),"",
   IF(OR('Dados da OS'!$D$8=Parâmetros!$B$3,'Dados da OS'!$D$8=Parâmetros!$B$4),
      IF(OR(AND(V141="INM",AG141&lt;&gt;"VF"),AND(AG141="VF",V141&lt;&gt;"INM")),"",
        IF(AND(V141="INM",AG141="VF"),IF(ISBLANK(AB141),"",AF141*AB141),
        IF('Dados da OS'!$D$8=Parâmetros!$B$4,
           IF(OR(V141="CE",V141="EE"),4,IF(V141="SE",5,IF(V141="ALI",7,IF(V141="AIE",5,"")))),
        IF('Dados da OS'!$D$8=Parâmetros!$B$3,
           IF(OR(ISBLANK(X141),ISBLANK(Z141)),"",
              IF(V141="ALI",IF(AE141="L",7,IF(AE141="A",10,15)),
                 IF(V141="AIE",IF(AE141="L",5,IF(AE141="A",7,10)),
                    IF(V141="SE",IF(AE141="L",4,IF(AE141="A",5,7)),
                       IF(OR(V141="EE",V141="CE"),IF(AE141="L",3,IF(AE141="A",4,6)),""))))))))),
   IF('Dados da OS'!$D$8=Parâmetros!$B$5,
      IF(OR(AND(V141="INM",AG141&lt;&gt;"VF"),AND(AG141="VF",V141&lt;&gt;"INM")),"",
         IF(V141="INM",IF(AG141="VF",AF141*AB141,""),
            IF(V141="PE",4.6,
            IF(V141="AL",7,"")))),
   IF('Dados da OS'!$D$8=Parâmetros!$B$6,
      IF(V141="ALI",35,IF(V141="AIE",15,"")),""))
    )
)</f>
        <v/>
      </c>
      <c r="AJ141" s="82" t="str">
        <f t="shared" si="22"/>
        <v/>
      </c>
      <c r="AK141" s="84"/>
      <c r="AL141" s="85" t="s">
        <v>21</v>
      </c>
      <c r="AM141" s="86"/>
      <c r="AN141" s="85"/>
      <c r="AO141" s="87"/>
      <c r="AP141" s="85"/>
      <c r="AQ141" s="86"/>
      <c r="AR141" s="85"/>
    </row>
    <row r="142" spans="1:44" ht="15.75" customHeight="1">
      <c r="A142" s="54"/>
      <c r="B142" s="100"/>
      <c r="C142" s="55"/>
      <c r="D142" s="55"/>
      <c r="E142" s="56"/>
      <c r="F142" s="55"/>
      <c r="G142" s="56"/>
      <c r="H142" s="55"/>
      <c r="I142" s="64"/>
      <c r="J142" s="57" t="str">
        <f t="shared" si="17"/>
        <v/>
      </c>
      <c r="K142" s="57" t="str">
        <f t="shared" si="18"/>
        <v/>
      </c>
      <c r="L142" s="57" t="str">
        <f xml:space="preserve">
IF(OR('Dados da OS'!$D$8=Parâmetros!$B$3,'Dados da OS'!$D$8=Parâmetros!$B$4),
  IF(OR(ISBLANK(D142),ISBLANK(F142)),
     IF(OR(B142="ALI",B142="AIE"),"L",IF(ISBLANK(B142),"","A")),
     IF(B142="EE",IF(F142&gt;=3,IF(D142&gt;=5,"H","A"),
     IF(F142&gt;=2,IF(D142&gt;=16,"H",IF(D142&lt;=4,"L","A")),IF(D142&lt;=15,"L","A"))),
     IF(OR(B142="SE",B142="CE"),IF(F142&gt;=4,IF(D142&gt;=6,"H","A"),IF(F142&gt;=2,IF(D142&gt;=20,"H",IF(D142&lt;=5,"L","A")),IF(D142&lt;=19,"L","A"))),
     IF(OR(B142="ALI",B142="AIE"),IF(F142&gt;=6,IF(D142&gt;=20,"H","A"),IF(F142&gt;=2,IF(D142&gt;=51,"H",IF(D142&lt;=19,"L","A")),IF(D142&lt;=50,"L","A"))))))),
IF('Dados da OS'!$D$8=Parâmetros!$B$6,"Indicativa",
IF('Dados da OS'!$D$8=Parâmetros!$B$5,"PFS","")))</f>
        <v/>
      </c>
      <c r="M142" s="57">
        <f>IFERROR(VLOOKUP(C142,'Fatores de Impacto e INMs'!$A$3:$D$32,3,0),1)</f>
        <v>1</v>
      </c>
      <c r="N142" s="57">
        <f>IFERROR(VLOOKUP(C142,'Fatores de Impacto e INMs'!$A$3:$E$32,5,0),1)</f>
        <v>1</v>
      </c>
      <c r="O142" s="63" t="str">
        <f xml:space="preserve">
IF(OR('Dados da OS'!$D$8="Selecione o tipo da contagem",ISBLANK('Dados da OS'!$D$8),B142="INM",B142="N/A",ISBLANK(B142),ISBLANK(C142),N142="VF"),"-",
   IF('Dados da OS'!$D$8=Parâmetros!$B$3,
      IF(OR(ISBLANK(D142),ISBLANK(F142)),"-",
         IF(L142="L","Baixa",IF(L142="A","Média",IF(L142="H","Alta","-")))),
      IF('Dados da OS'!$D$8=Parâmetros!$B$4,
         IF(OR(B142="ALI",B142="AIE"),"Baixa",IF(OR(B142="EE",B142="SE",B142="CE"),"Média","-")),
         IF(OR('Dados da OS'!$D$8=Parâmetros!$B$5,'Dados da OS'!$D$8=Parâmetros!$B$6),"-"))))</f>
        <v>-</v>
      </c>
      <c r="P142" s="59" t="str">
        <f xml:space="preserve">
IF(OR(ISBLANK(B142),ISBLANK(C142),B142="N/A",ISBLANK('Dados da OS'!$D$8)),"",
   IF(OR('Dados da OS'!$D$8=Parâmetros!$B$3,'Dados da OS'!$D$8=Parâmetros!$B$4),
      IF(OR(AND(B142="INM",N142&lt;&gt;"VF"),AND(N142="VF",B142&lt;&gt;"INM")),"",
        IF(AND(B142="INM",N142="VF"),IF(ISBLANK(H142),"",M142*H142),
        IF('Dados da OS'!$D$8=Parâmetros!$B$4,
           IF(OR(B142="CE",B142="EE"),4,IF(B142="SE",5,IF(B142="ALI",7,IF(B142="AIE",5,"")))),
        IF('Dados da OS'!$D$8=Parâmetros!$B$3,
           IF(OR(ISBLANK(D142),ISBLANK(F142)),"",
              IF(B142="ALI",IF(L142="L",7,IF(L142="A",10,15)),
                 IF(B142="AIE",IF(L142="L",5,IF(L142="A",7,10)),
                    IF(B142="SE",IF(L142="L",4,IF(L142="A",5,7)),
                       IF(OR(B142="EE",B142="CE"),IF(L142="L",3,IF(L142="A",4,6)),""))))))))),
   IF('Dados da OS'!$D$8=Parâmetros!$B$5,
      IF(OR(AND(B142="INM",N142&lt;&gt;"VF"),AND(N142="VF",B142&lt;&gt;"INM")),"",
         IF(B142="INM",IF(N142="VF",M142*H142,""),
            IF(B142="PE",4.6,
            IF(B142="AL",7,"")))),
   IF('Dados da OS'!$D$8=Parâmetros!$B$6,
      IF(B142="ALI",35,IF(B142="AIE",15,"")),""))
    )
)</f>
        <v/>
      </c>
      <c r="Q142" s="60" t="str">
        <f t="shared" si="19"/>
        <v/>
      </c>
      <c r="R142" s="61"/>
      <c r="S142" s="62"/>
      <c r="T142" s="80" t="s">
        <v>21</v>
      </c>
      <c r="U142" s="81"/>
      <c r="V142" s="99"/>
      <c r="W142" s="55"/>
      <c r="X142" s="55"/>
      <c r="Y142" s="56"/>
      <c r="Z142" s="55"/>
      <c r="AA142" s="56"/>
      <c r="AB142" s="55"/>
      <c r="AC142" s="57" t="str">
        <f t="shared" si="20"/>
        <v/>
      </c>
      <c r="AD142" s="57" t="str">
        <f t="shared" si="21"/>
        <v/>
      </c>
      <c r="AE142" s="57" t="str">
        <f xml:space="preserve">
IF(OR('Dados da OS'!$D$8=Parâmetros!$B$3,'Dados da OS'!$D$8=Parâmetros!$B$4),
  IF(OR(ISBLANK(X142),ISBLANK(Z142)),
     IF(OR(V142="ALI",V142="AIE"),"L",IF(ISBLANK(V142),"","A")),
     IF(V142="EE",IF(Z142&gt;=3,IF(X142&gt;=5,"H","A"),
     IF(Z142&gt;=2,IF(X142&gt;=16,"H",IF(X142&lt;=4,"L","A")),IF(X142&lt;=15,"L","A"))),
     IF(OR(V142="SE",V142="CE"),IF(Z142&gt;=4,IF(X142&gt;=6,"H","A"),IF(Z142&gt;=2,IF(X142&gt;=20,"H",IF(X142&lt;=5,"L","A")),IF(X142&lt;=19,"L","A"))),
     IF(OR(V142="ALI",V142="AIE"),IF(Z142&gt;=6,IF(X142&gt;=20,"H","A"),IF(Z142&gt;=2,IF(X142&gt;=51,"H",IF(X142&lt;=19,"L","A")),IF(X142&lt;=50,"L","A"))))))),
IF('Dados da OS'!$D$8=Parâmetros!$B$6,"Indicativa",
IF('Dados da OS'!$D$8=Parâmetros!$B$5,"PFS","")))</f>
        <v/>
      </c>
      <c r="AF142" s="57">
        <f>IFERROR(VLOOKUP(W142,'Fatores de Impacto e INMs'!$A$3:$D$32,3,0),1)</f>
        <v>1</v>
      </c>
      <c r="AG142" s="57">
        <f>IFERROR(VLOOKUP(W142,'Fatores de Impacto e INMs'!$A$3:$E$32,5,0),1)</f>
        <v>1</v>
      </c>
      <c r="AH142" s="82" t="str">
        <f xml:space="preserve">
IF(OR('Dados da OS'!$D$8="Selecione o tipo da contagem",ISBLANK('Dados da OS'!$D$8),V142="INM",V142="N/A",ISBLANK(V142),ISBLANK(W142),AG142="VF"),"-",
   IF('Dados da OS'!$D$8=Parâmetros!$B$3,
      IF(OR(ISBLANK(X142),ISBLANK(Z142)),"-",
         IF(AE142="L","Baixa",IF(AE142="A","Média",IF(AE142="H","Alta","-")))),
      IF('Dados da OS'!$D$8=Parâmetros!$B$4,
         IF(OR(V142="ALI",V142="AIE"),"Baixa",IF(OR(V142="EE",V142="SE",V142="CE"),"Média","-")),
         IF(OR('Dados da OS'!$D$8=Parâmetros!$B$5,'Dados da OS'!$D$8=Parâmetros!$B$6),"-"))))</f>
        <v>-</v>
      </c>
      <c r="AI142" s="83" t="str">
        <f xml:space="preserve">
IF(OR(ISBLANK(V142),ISBLANK(U142),ISBLANK(W142),V142="N/A",ISBLANK('Dados da OS'!$D$8)),"",
   IF(OR('Dados da OS'!$D$8=Parâmetros!$B$3,'Dados da OS'!$D$8=Parâmetros!$B$4),
      IF(OR(AND(V142="INM",AG142&lt;&gt;"VF"),AND(AG142="VF",V142&lt;&gt;"INM")),"",
        IF(AND(V142="INM",AG142="VF"),IF(ISBLANK(AB142),"",AF142*AB142),
        IF('Dados da OS'!$D$8=Parâmetros!$B$4,
           IF(OR(V142="CE",V142="EE"),4,IF(V142="SE",5,IF(V142="ALI",7,IF(V142="AIE",5,"")))),
        IF('Dados da OS'!$D$8=Parâmetros!$B$3,
           IF(OR(ISBLANK(X142),ISBLANK(Z142)),"",
              IF(V142="ALI",IF(AE142="L",7,IF(AE142="A",10,15)),
                 IF(V142="AIE",IF(AE142="L",5,IF(AE142="A",7,10)),
                    IF(V142="SE",IF(AE142="L",4,IF(AE142="A",5,7)),
                       IF(OR(V142="EE",V142="CE"),IF(AE142="L",3,IF(AE142="A",4,6)),""))))))))),
   IF('Dados da OS'!$D$8=Parâmetros!$B$5,
      IF(OR(AND(V142="INM",AG142&lt;&gt;"VF"),AND(AG142="VF",V142&lt;&gt;"INM")),"",
         IF(V142="INM",IF(AG142="VF",AF142*AB142,""),
            IF(V142="PE",4.6,
            IF(V142="AL",7,"")))),
   IF('Dados da OS'!$D$8=Parâmetros!$B$6,
      IF(V142="ALI",35,IF(V142="AIE",15,"")),""))
    )
)</f>
        <v/>
      </c>
      <c r="AJ142" s="82" t="str">
        <f t="shared" si="22"/>
        <v/>
      </c>
      <c r="AK142" s="84"/>
      <c r="AL142" s="85" t="s">
        <v>21</v>
      </c>
      <c r="AM142" s="86"/>
      <c r="AN142" s="85"/>
      <c r="AO142" s="87"/>
      <c r="AP142" s="85"/>
      <c r="AQ142" s="86"/>
      <c r="AR142" s="85"/>
    </row>
    <row r="143" spans="1:44" ht="15.75" customHeight="1">
      <c r="A143" s="54"/>
      <c r="B143" s="100"/>
      <c r="C143" s="55"/>
      <c r="D143" s="55"/>
      <c r="E143" s="56"/>
      <c r="F143" s="55"/>
      <c r="G143" s="56"/>
      <c r="H143" s="55"/>
      <c r="I143" s="64"/>
      <c r="J143" s="57" t="str">
        <f t="shared" si="17"/>
        <v/>
      </c>
      <c r="K143" s="57" t="str">
        <f t="shared" si="18"/>
        <v/>
      </c>
      <c r="L143" s="57" t="str">
        <f xml:space="preserve">
IF(OR('Dados da OS'!$D$8=Parâmetros!$B$3,'Dados da OS'!$D$8=Parâmetros!$B$4),
  IF(OR(ISBLANK(D143),ISBLANK(F143)),
     IF(OR(B143="ALI",B143="AIE"),"L",IF(ISBLANK(B143),"","A")),
     IF(B143="EE",IF(F143&gt;=3,IF(D143&gt;=5,"H","A"),
     IF(F143&gt;=2,IF(D143&gt;=16,"H",IF(D143&lt;=4,"L","A")),IF(D143&lt;=15,"L","A"))),
     IF(OR(B143="SE",B143="CE"),IF(F143&gt;=4,IF(D143&gt;=6,"H","A"),IF(F143&gt;=2,IF(D143&gt;=20,"H",IF(D143&lt;=5,"L","A")),IF(D143&lt;=19,"L","A"))),
     IF(OR(B143="ALI",B143="AIE"),IF(F143&gt;=6,IF(D143&gt;=20,"H","A"),IF(F143&gt;=2,IF(D143&gt;=51,"H",IF(D143&lt;=19,"L","A")),IF(D143&lt;=50,"L","A"))))))),
IF('Dados da OS'!$D$8=Parâmetros!$B$6,"Indicativa",
IF('Dados da OS'!$D$8=Parâmetros!$B$5,"PFS","")))</f>
        <v/>
      </c>
      <c r="M143" s="57">
        <f>IFERROR(VLOOKUP(C143,'Fatores de Impacto e INMs'!$A$3:$D$32,3,0),1)</f>
        <v>1</v>
      </c>
      <c r="N143" s="57">
        <f>IFERROR(VLOOKUP(C143,'Fatores de Impacto e INMs'!$A$3:$E$32,5,0),1)</f>
        <v>1</v>
      </c>
      <c r="O143" s="63" t="str">
        <f xml:space="preserve">
IF(OR('Dados da OS'!$D$8="Selecione o tipo da contagem",ISBLANK('Dados da OS'!$D$8),B143="INM",B143="N/A",ISBLANK(B143),ISBLANK(C143),N143="VF"),"-",
   IF('Dados da OS'!$D$8=Parâmetros!$B$3,
      IF(OR(ISBLANK(D143),ISBLANK(F143)),"-",
         IF(L143="L","Baixa",IF(L143="A","Média",IF(L143="H","Alta","-")))),
      IF('Dados da OS'!$D$8=Parâmetros!$B$4,
         IF(OR(B143="ALI",B143="AIE"),"Baixa",IF(OR(B143="EE",B143="SE",B143="CE"),"Média","-")),
         IF(OR('Dados da OS'!$D$8=Parâmetros!$B$5,'Dados da OS'!$D$8=Parâmetros!$B$6),"-"))))</f>
        <v>-</v>
      </c>
      <c r="P143" s="59" t="str">
        <f xml:space="preserve">
IF(OR(ISBLANK(B143),ISBLANK(C143),B143="N/A",ISBLANK('Dados da OS'!$D$8)),"",
   IF(OR('Dados da OS'!$D$8=Parâmetros!$B$3,'Dados da OS'!$D$8=Parâmetros!$B$4),
      IF(OR(AND(B143="INM",N143&lt;&gt;"VF"),AND(N143="VF",B143&lt;&gt;"INM")),"",
        IF(AND(B143="INM",N143="VF"),IF(ISBLANK(H143),"",M143*H143),
        IF('Dados da OS'!$D$8=Parâmetros!$B$4,
           IF(OR(B143="CE",B143="EE"),4,IF(B143="SE",5,IF(B143="ALI",7,IF(B143="AIE",5,"")))),
        IF('Dados da OS'!$D$8=Parâmetros!$B$3,
           IF(OR(ISBLANK(D143),ISBLANK(F143)),"",
              IF(B143="ALI",IF(L143="L",7,IF(L143="A",10,15)),
                 IF(B143="AIE",IF(L143="L",5,IF(L143="A",7,10)),
                    IF(B143="SE",IF(L143="L",4,IF(L143="A",5,7)),
                       IF(OR(B143="EE",B143="CE"),IF(L143="L",3,IF(L143="A",4,6)),""))))))))),
   IF('Dados da OS'!$D$8=Parâmetros!$B$5,
      IF(OR(AND(B143="INM",N143&lt;&gt;"VF"),AND(N143="VF",B143&lt;&gt;"INM")),"",
         IF(B143="INM",IF(N143="VF",M143*H143,""),
            IF(B143="PE",4.6,
            IF(B143="AL",7,"")))),
   IF('Dados da OS'!$D$8=Parâmetros!$B$6,
      IF(B143="ALI",35,IF(B143="AIE",15,"")),""))
    )
)</f>
        <v/>
      </c>
      <c r="Q143" s="60" t="str">
        <f t="shared" si="19"/>
        <v/>
      </c>
      <c r="R143" s="61"/>
      <c r="S143" s="62"/>
      <c r="T143" s="80" t="s">
        <v>21</v>
      </c>
      <c r="U143" s="81"/>
      <c r="V143" s="99"/>
      <c r="W143" s="55"/>
      <c r="X143" s="55"/>
      <c r="Y143" s="56"/>
      <c r="Z143" s="55"/>
      <c r="AA143" s="56"/>
      <c r="AB143" s="55"/>
      <c r="AC143" s="57" t="str">
        <f t="shared" si="20"/>
        <v/>
      </c>
      <c r="AD143" s="57" t="str">
        <f t="shared" si="21"/>
        <v/>
      </c>
      <c r="AE143" s="57" t="str">
        <f xml:space="preserve">
IF(OR('Dados da OS'!$D$8=Parâmetros!$B$3,'Dados da OS'!$D$8=Parâmetros!$B$4),
  IF(OR(ISBLANK(X143),ISBLANK(Z143)),
     IF(OR(V143="ALI",V143="AIE"),"L",IF(ISBLANK(V143),"","A")),
     IF(V143="EE",IF(Z143&gt;=3,IF(X143&gt;=5,"H","A"),
     IF(Z143&gt;=2,IF(X143&gt;=16,"H",IF(X143&lt;=4,"L","A")),IF(X143&lt;=15,"L","A"))),
     IF(OR(V143="SE",V143="CE"),IF(Z143&gt;=4,IF(X143&gt;=6,"H","A"),IF(Z143&gt;=2,IF(X143&gt;=20,"H",IF(X143&lt;=5,"L","A")),IF(X143&lt;=19,"L","A"))),
     IF(OR(V143="ALI",V143="AIE"),IF(Z143&gt;=6,IF(X143&gt;=20,"H","A"),IF(Z143&gt;=2,IF(X143&gt;=51,"H",IF(X143&lt;=19,"L","A")),IF(X143&lt;=50,"L","A"))))))),
IF('Dados da OS'!$D$8=Parâmetros!$B$6,"Indicativa",
IF('Dados da OS'!$D$8=Parâmetros!$B$5,"PFS","")))</f>
        <v/>
      </c>
      <c r="AF143" s="57">
        <f>IFERROR(VLOOKUP(W143,'Fatores de Impacto e INMs'!$A$3:$D$32,3,0),1)</f>
        <v>1</v>
      </c>
      <c r="AG143" s="57">
        <f>IFERROR(VLOOKUP(W143,'Fatores de Impacto e INMs'!$A$3:$E$32,5,0),1)</f>
        <v>1</v>
      </c>
      <c r="AH143" s="82" t="str">
        <f xml:space="preserve">
IF(OR('Dados da OS'!$D$8="Selecione o tipo da contagem",ISBLANK('Dados da OS'!$D$8),V143="INM",V143="N/A",ISBLANK(V143),ISBLANK(W143),AG143="VF"),"-",
   IF('Dados da OS'!$D$8=Parâmetros!$B$3,
      IF(OR(ISBLANK(X143),ISBLANK(Z143)),"-",
         IF(AE143="L","Baixa",IF(AE143="A","Média",IF(AE143="H","Alta","-")))),
      IF('Dados da OS'!$D$8=Parâmetros!$B$4,
         IF(OR(V143="ALI",V143="AIE"),"Baixa",IF(OR(V143="EE",V143="SE",V143="CE"),"Média","-")),
         IF(OR('Dados da OS'!$D$8=Parâmetros!$B$5,'Dados da OS'!$D$8=Parâmetros!$B$6),"-"))))</f>
        <v>-</v>
      </c>
      <c r="AI143" s="83" t="str">
        <f xml:space="preserve">
IF(OR(ISBLANK(V143),ISBLANK(U143),ISBLANK(W143),V143="N/A",ISBLANK('Dados da OS'!$D$8)),"",
   IF(OR('Dados da OS'!$D$8=Parâmetros!$B$3,'Dados da OS'!$D$8=Parâmetros!$B$4),
      IF(OR(AND(V143="INM",AG143&lt;&gt;"VF"),AND(AG143="VF",V143&lt;&gt;"INM")),"",
        IF(AND(V143="INM",AG143="VF"),IF(ISBLANK(AB143),"",AF143*AB143),
        IF('Dados da OS'!$D$8=Parâmetros!$B$4,
           IF(OR(V143="CE",V143="EE"),4,IF(V143="SE",5,IF(V143="ALI",7,IF(V143="AIE",5,"")))),
        IF('Dados da OS'!$D$8=Parâmetros!$B$3,
           IF(OR(ISBLANK(X143),ISBLANK(Z143)),"",
              IF(V143="ALI",IF(AE143="L",7,IF(AE143="A",10,15)),
                 IF(V143="AIE",IF(AE143="L",5,IF(AE143="A",7,10)),
                    IF(V143="SE",IF(AE143="L",4,IF(AE143="A",5,7)),
                       IF(OR(V143="EE",V143="CE"),IF(AE143="L",3,IF(AE143="A",4,6)),""))))))))),
   IF('Dados da OS'!$D$8=Parâmetros!$B$5,
      IF(OR(AND(V143="INM",AG143&lt;&gt;"VF"),AND(AG143="VF",V143&lt;&gt;"INM")),"",
         IF(V143="INM",IF(AG143="VF",AF143*AB143,""),
            IF(V143="PE",4.6,
            IF(V143="AL",7,"")))),
   IF('Dados da OS'!$D$8=Parâmetros!$B$6,
      IF(V143="ALI",35,IF(V143="AIE",15,"")),""))
    )
)</f>
        <v/>
      </c>
      <c r="AJ143" s="82" t="str">
        <f t="shared" si="22"/>
        <v/>
      </c>
      <c r="AK143" s="84"/>
      <c r="AL143" s="85" t="s">
        <v>21</v>
      </c>
      <c r="AM143" s="86"/>
      <c r="AN143" s="85"/>
      <c r="AO143" s="87"/>
      <c r="AP143" s="85"/>
      <c r="AQ143" s="86"/>
      <c r="AR143" s="85"/>
    </row>
    <row r="144" spans="1:44" ht="15.75" customHeight="1">
      <c r="A144" s="54"/>
      <c r="B144" s="100"/>
      <c r="C144" s="55"/>
      <c r="D144" s="55"/>
      <c r="E144" s="56"/>
      <c r="F144" s="55"/>
      <c r="G144" s="56"/>
      <c r="H144" s="55"/>
      <c r="I144" s="64"/>
      <c r="J144" s="57" t="str">
        <f t="shared" si="17"/>
        <v/>
      </c>
      <c r="K144" s="57" t="str">
        <f t="shared" si="18"/>
        <v/>
      </c>
      <c r="L144" s="57" t="str">
        <f xml:space="preserve">
IF(OR('Dados da OS'!$D$8=Parâmetros!$B$3,'Dados da OS'!$D$8=Parâmetros!$B$4),
  IF(OR(ISBLANK(D144),ISBLANK(F144)),
     IF(OR(B144="ALI",B144="AIE"),"L",IF(ISBLANK(B144),"","A")),
     IF(B144="EE",IF(F144&gt;=3,IF(D144&gt;=5,"H","A"),
     IF(F144&gt;=2,IF(D144&gt;=16,"H",IF(D144&lt;=4,"L","A")),IF(D144&lt;=15,"L","A"))),
     IF(OR(B144="SE",B144="CE"),IF(F144&gt;=4,IF(D144&gt;=6,"H","A"),IF(F144&gt;=2,IF(D144&gt;=20,"H",IF(D144&lt;=5,"L","A")),IF(D144&lt;=19,"L","A"))),
     IF(OR(B144="ALI",B144="AIE"),IF(F144&gt;=6,IF(D144&gt;=20,"H","A"),IF(F144&gt;=2,IF(D144&gt;=51,"H",IF(D144&lt;=19,"L","A")),IF(D144&lt;=50,"L","A"))))))),
IF('Dados da OS'!$D$8=Parâmetros!$B$6,"Indicativa",
IF('Dados da OS'!$D$8=Parâmetros!$B$5,"PFS","")))</f>
        <v/>
      </c>
      <c r="M144" s="57">
        <f>IFERROR(VLOOKUP(C144,'Fatores de Impacto e INMs'!$A$3:$D$32,3,0),1)</f>
        <v>1</v>
      </c>
      <c r="N144" s="57">
        <f>IFERROR(VLOOKUP(C144,'Fatores de Impacto e INMs'!$A$3:$E$32,5,0),1)</f>
        <v>1</v>
      </c>
      <c r="O144" s="63" t="str">
        <f xml:space="preserve">
IF(OR('Dados da OS'!$D$8="Selecione o tipo da contagem",ISBLANK('Dados da OS'!$D$8),B144="INM",B144="N/A",ISBLANK(B144),ISBLANK(C144),N144="VF"),"-",
   IF('Dados da OS'!$D$8=Parâmetros!$B$3,
      IF(OR(ISBLANK(D144),ISBLANK(F144)),"-",
         IF(L144="L","Baixa",IF(L144="A","Média",IF(L144="H","Alta","-")))),
      IF('Dados da OS'!$D$8=Parâmetros!$B$4,
         IF(OR(B144="ALI",B144="AIE"),"Baixa",IF(OR(B144="EE",B144="SE",B144="CE"),"Média","-")),
         IF(OR('Dados da OS'!$D$8=Parâmetros!$B$5,'Dados da OS'!$D$8=Parâmetros!$B$6),"-"))))</f>
        <v>-</v>
      </c>
      <c r="P144" s="59" t="str">
        <f xml:space="preserve">
IF(OR(ISBLANK(B144),ISBLANK(C144),B144="N/A",ISBLANK('Dados da OS'!$D$8)),"",
   IF(OR('Dados da OS'!$D$8=Parâmetros!$B$3,'Dados da OS'!$D$8=Parâmetros!$B$4),
      IF(OR(AND(B144="INM",N144&lt;&gt;"VF"),AND(N144="VF",B144&lt;&gt;"INM")),"",
        IF(AND(B144="INM",N144="VF"),IF(ISBLANK(H144),"",M144*H144),
        IF('Dados da OS'!$D$8=Parâmetros!$B$4,
           IF(OR(B144="CE",B144="EE"),4,IF(B144="SE",5,IF(B144="ALI",7,IF(B144="AIE",5,"")))),
        IF('Dados da OS'!$D$8=Parâmetros!$B$3,
           IF(OR(ISBLANK(D144),ISBLANK(F144)),"",
              IF(B144="ALI",IF(L144="L",7,IF(L144="A",10,15)),
                 IF(B144="AIE",IF(L144="L",5,IF(L144="A",7,10)),
                    IF(B144="SE",IF(L144="L",4,IF(L144="A",5,7)),
                       IF(OR(B144="EE",B144="CE"),IF(L144="L",3,IF(L144="A",4,6)),""))))))))),
   IF('Dados da OS'!$D$8=Parâmetros!$B$5,
      IF(OR(AND(B144="INM",N144&lt;&gt;"VF"),AND(N144="VF",B144&lt;&gt;"INM")),"",
         IF(B144="INM",IF(N144="VF",M144*H144,""),
            IF(B144="PE",4.6,
            IF(B144="AL",7,"")))),
   IF('Dados da OS'!$D$8=Parâmetros!$B$6,
      IF(B144="ALI",35,IF(B144="AIE",15,"")),""))
    )
)</f>
        <v/>
      </c>
      <c r="Q144" s="60" t="str">
        <f t="shared" si="19"/>
        <v/>
      </c>
      <c r="R144" s="61"/>
      <c r="S144" s="62"/>
      <c r="T144" s="80" t="s">
        <v>21</v>
      </c>
      <c r="U144" s="81"/>
      <c r="V144" s="99"/>
      <c r="W144" s="55"/>
      <c r="X144" s="55"/>
      <c r="Y144" s="56"/>
      <c r="Z144" s="55"/>
      <c r="AA144" s="56"/>
      <c r="AB144" s="55"/>
      <c r="AC144" s="57" t="str">
        <f t="shared" si="20"/>
        <v/>
      </c>
      <c r="AD144" s="57" t="str">
        <f t="shared" si="21"/>
        <v/>
      </c>
      <c r="AE144" s="57" t="str">
        <f xml:space="preserve">
IF(OR('Dados da OS'!$D$8=Parâmetros!$B$3,'Dados da OS'!$D$8=Parâmetros!$B$4),
  IF(OR(ISBLANK(X144),ISBLANK(Z144)),
     IF(OR(V144="ALI",V144="AIE"),"L",IF(ISBLANK(V144),"","A")),
     IF(V144="EE",IF(Z144&gt;=3,IF(X144&gt;=5,"H","A"),
     IF(Z144&gt;=2,IF(X144&gt;=16,"H",IF(X144&lt;=4,"L","A")),IF(X144&lt;=15,"L","A"))),
     IF(OR(V144="SE",V144="CE"),IF(Z144&gt;=4,IF(X144&gt;=6,"H","A"),IF(Z144&gt;=2,IF(X144&gt;=20,"H",IF(X144&lt;=5,"L","A")),IF(X144&lt;=19,"L","A"))),
     IF(OR(V144="ALI",V144="AIE"),IF(Z144&gt;=6,IF(X144&gt;=20,"H","A"),IF(Z144&gt;=2,IF(X144&gt;=51,"H",IF(X144&lt;=19,"L","A")),IF(X144&lt;=50,"L","A"))))))),
IF('Dados da OS'!$D$8=Parâmetros!$B$6,"Indicativa",
IF('Dados da OS'!$D$8=Parâmetros!$B$5,"PFS","")))</f>
        <v/>
      </c>
      <c r="AF144" s="57">
        <f>IFERROR(VLOOKUP(W144,'Fatores de Impacto e INMs'!$A$3:$D$32,3,0),1)</f>
        <v>1</v>
      </c>
      <c r="AG144" s="57">
        <f>IFERROR(VLOOKUP(W144,'Fatores de Impacto e INMs'!$A$3:$E$32,5,0),1)</f>
        <v>1</v>
      </c>
      <c r="AH144" s="82" t="str">
        <f xml:space="preserve">
IF(OR('Dados da OS'!$D$8="Selecione o tipo da contagem",ISBLANK('Dados da OS'!$D$8),V144="INM",V144="N/A",ISBLANK(V144),ISBLANK(W144),AG144="VF"),"-",
   IF('Dados da OS'!$D$8=Parâmetros!$B$3,
      IF(OR(ISBLANK(X144),ISBLANK(Z144)),"-",
         IF(AE144="L","Baixa",IF(AE144="A","Média",IF(AE144="H","Alta","-")))),
      IF('Dados da OS'!$D$8=Parâmetros!$B$4,
         IF(OR(V144="ALI",V144="AIE"),"Baixa",IF(OR(V144="EE",V144="SE",V144="CE"),"Média","-")),
         IF(OR('Dados da OS'!$D$8=Parâmetros!$B$5,'Dados da OS'!$D$8=Parâmetros!$B$6),"-"))))</f>
        <v>-</v>
      </c>
      <c r="AI144" s="83" t="str">
        <f xml:space="preserve">
IF(OR(ISBLANK(V144),ISBLANK(U144),ISBLANK(W144),V144="N/A",ISBLANK('Dados da OS'!$D$8)),"",
   IF(OR('Dados da OS'!$D$8=Parâmetros!$B$3,'Dados da OS'!$D$8=Parâmetros!$B$4),
      IF(OR(AND(V144="INM",AG144&lt;&gt;"VF"),AND(AG144="VF",V144&lt;&gt;"INM")),"",
        IF(AND(V144="INM",AG144="VF"),IF(ISBLANK(AB144),"",AF144*AB144),
        IF('Dados da OS'!$D$8=Parâmetros!$B$4,
           IF(OR(V144="CE",V144="EE"),4,IF(V144="SE",5,IF(V144="ALI",7,IF(V144="AIE",5,"")))),
        IF('Dados da OS'!$D$8=Parâmetros!$B$3,
           IF(OR(ISBLANK(X144),ISBLANK(Z144)),"",
              IF(V144="ALI",IF(AE144="L",7,IF(AE144="A",10,15)),
                 IF(V144="AIE",IF(AE144="L",5,IF(AE144="A",7,10)),
                    IF(V144="SE",IF(AE144="L",4,IF(AE144="A",5,7)),
                       IF(OR(V144="EE",V144="CE"),IF(AE144="L",3,IF(AE144="A",4,6)),""))))))))),
   IF('Dados da OS'!$D$8=Parâmetros!$B$5,
      IF(OR(AND(V144="INM",AG144&lt;&gt;"VF"),AND(AG144="VF",V144&lt;&gt;"INM")),"",
         IF(V144="INM",IF(AG144="VF",AF144*AB144,""),
            IF(V144="PE",4.6,
            IF(V144="AL",7,"")))),
   IF('Dados da OS'!$D$8=Parâmetros!$B$6,
      IF(V144="ALI",35,IF(V144="AIE",15,"")),""))
    )
)</f>
        <v/>
      </c>
      <c r="AJ144" s="82" t="str">
        <f t="shared" si="22"/>
        <v/>
      </c>
      <c r="AK144" s="84"/>
      <c r="AL144" s="85" t="s">
        <v>21</v>
      </c>
      <c r="AM144" s="86"/>
      <c r="AN144" s="85"/>
      <c r="AO144" s="87"/>
      <c r="AP144" s="85"/>
      <c r="AQ144" s="86"/>
      <c r="AR144" s="85"/>
    </row>
    <row r="145" spans="1:44" ht="15.75" customHeight="1">
      <c r="A145" s="54"/>
      <c r="B145" s="100"/>
      <c r="C145" s="55"/>
      <c r="D145" s="55"/>
      <c r="E145" s="56"/>
      <c r="F145" s="55"/>
      <c r="G145" s="56"/>
      <c r="H145" s="55"/>
      <c r="I145" s="64"/>
      <c r="J145" s="57" t="str">
        <f t="shared" si="17"/>
        <v/>
      </c>
      <c r="K145" s="57" t="str">
        <f t="shared" si="18"/>
        <v/>
      </c>
      <c r="L145" s="57" t="str">
        <f xml:space="preserve">
IF(OR('Dados da OS'!$D$8=Parâmetros!$B$3,'Dados da OS'!$D$8=Parâmetros!$B$4),
  IF(OR(ISBLANK(D145),ISBLANK(F145)),
     IF(OR(B145="ALI",B145="AIE"),"L",IF(ISBLANK(B145),"","A")),
     IF(B145="EE",IF(F145&gt;=3,IF(D145&gt;=5,"H","A"),
     IF(F145&gt;=2,IF(D145&gt;=16,"H",IF(D145&lt;=4,"L","A")),IF(D145&lt;=15,"L","A"))),
     IF(OR(B145="SE",B145="CE"),IF(F145&gt;=4,IF(D145&gt;=6,"H","A"),IF(F145&gt;=2,IF(D145&gt;=20,"H",IF(D145&lt;=5,"L","A")),IF(D145&lt;=19,"L","A"))),
     IF(OR(B145="ALI",B145="AIE"),IF(F145&gt;=6,IF(D145&gt;=20,"H","A"),IF(F145&gt;=2,IF(D145&gt;=51,"H",IF(D145&lt;=19,"L","A")),IF(D145&lt;=50,"L","A"))))))),
IF('Dados da OS'!$D$8=Parâmetros!$B$6,"Indicativa",
IF('Dados da OS'!$D$8=Parâmetros!$B$5,"PFS","")))</f>
        <v/>
      </c>
      <c r="M145" s="57">
        <f>IFERROR(VLOOKUP(C145,'Fatores de Impacto e INMs'!$A$3:$D$32,3,0),1)</f>
        <v>1</v>
      </c>
      <c r="N145" s="57">
        <f>IFERROR(VLOOKUP(C145,'Fatores de Impacto e INMs'!$A$3:$E$32,5,0),1)</f>
        <v>1</v>
      </c>
      <c r="O145" s="63" t="str">
        <f xml:space="preserve">
IF(OR('Dados da OS'!$D$8="Selecione o tipo da contagem",ISBLANK('Dados da OS'!$D$8),B145="INM",B145="N/A",ISBLANK(B145),ISBLANK(C145),N145="VF"),"-",
   IF('Dados da OS'!$D$8=Parâmetros!$B$3,
      IF(OR(ISBLANK(D145),ISBLANK(F145)),"-",
         IF(L145="L","Baixa",IF(L145="A","Média",IF(L145="H","Alta","-")))),
      IF('Dados da OS'!$D$8=Parâmetros!$B$4,
         IF(OR(B145="ALI",B145="AIE"),"Baixa",IF(OR(B145="EE",B145="SE",B145="CE"),"Média","-")),
         IF(OR('Dados da OS'!$D$8=Parâmetros!$B$5,'Dados da OS'!$D$8=Parâmetros!$B$6),"-"))))</f>
        <v>-</v>
      </c>
      <c r="P145" s="59" t="str">
        <f xml:space="preserve">
IF(OR(ISBLANK(B145),ISBLANK(C145),B145="N/A",ISBLANK('Dados da OS'!$D$8)),"",
   IF(OR('Dados da OS'!$D$8=Parâmetros!$B$3,'Dados da OS'!$D$8=Parâmetros!$B$4),
      IF(OR(AND(B145="INM",N145&lt;&gt;"VF"),AND(N145="VF",B145&lt;&gt;"INM")),"",
        IF(AND(B145="INM",N145="VF"),IF(ISBLANK(H145),"",M145*H145),
        IF('Dados da OS'!$D$8=Parâmetros!$B$4,
           IF(OR(B145="CE",B145="EE"),4,IF(B145="SE",5,IF(B145="ALI",7,IF(B145="AIE",5,"")))),
        IF('Dados da OS'!$D$8=Parâmetros!$B$3,
           IF(OR(ISBLANK(D145),ISBLANK(F145)),"",
              IF(B145="ALI",IF(L145="L",7,IF(L145="A",10,15)),
                 IF(B145="AIE",IF(L145="L",5,IF(L145="A",7,10)),
                    IF(B145="SE",IF(L145="L",4,IF(L145="A",5,7)),
                       IF(OR(B145="EE",B145="CE"),IF(L145="L",3,IF(L145="A",4,6)),""))))))))),
   IF('Dados da OS'!$D$8=Parâmetros!$B$5,
      IF(OR(AND(B145="INM",N145&lt;&gt;"VF"),AND(N145="VF",B145&lt;&gt;"INM")),"",
         IF(B145="INM",IF(N145="VF",M145*H145,""),
            IF(B145="PE",4.6,
            IF(B145="AL",7,"")))),
   IF('Dados da OS'!$D$8=Parâmetros!$B$6,
      IF(B145="ALI",35,IF(B145="AIE",15,"")),""))
    )
)</f>
        <v/>
      </c>
      <c r="Q145" s="60" t="str">
        <f t="shared" si="19"/>
        <v/>
      </c>
      <c r="R145" s="61"/>
      <c r="S145" s="62"/>
      <c r="T145" s="80" t="s">
        <v>21</v>
      </c>
      <c r="U145" s="81"/>
      <c r="V145" s="99"/>
      <c r="W145" s="55"/>
      <c r="X145" s="55"/>
      <c r="Y145" s="56"/>
      <c r="Z145" s="55"/>
      <c r="AA145" s="56"/>
      <c r="AB145" s="55"/>
      <c r="AC145" s="57" t="str">
        <f t="shared" si="20"/>
        <v/>
      </c>
      <c r="AD145" s="57" t="str">
        <f t="shared" si="21"/>
        <v/>
      </c>
      <c r="AE145" s="57" t="str">
        <f xml:space="preserve">
IF(OR('Dados da OS'!$D$8=Parâmetros!$B$3,'Dados da OS'!$D$8=Parâmetros!$B$4),
  IF(OR(ISBLANK(X145),ISBLANK(Z145)),
     IF(OR(V145="ALI",V145="AIE"),"L",IF(ISBLANK(V145),"","A")),
     IF(V145="EE",IF(Z145&gt;=3,IF(X145&gt;=5,"H","A"),
     IF(Z145&gt;=2,IF(X145&gt;=16,"H",IF(X145&lt;=4,"L","A")),IF(X145&lt;=15,"L","A"))),
     IF(OR(V145="SE",V145="CE"),IF(Z145&gt;=4,IF(X145&gt;=6,"H","A"),IF(Z145&gt;=2,IF(X145&gt;=20,"H",IF(X145&lt;=5,"L","A")),IF(X145&lt;=19,"L","A"))),
     IF(OR(V145="ALI",V145="AIE"),IF(Z145&gt;=6,IF(X145&gt;=20,"H","A"),IF(Z145&gt;=2,IF(X145&gt;=51,"H",IF(X145&lt;=19,"L","A")),IF(X145&lt;=50,"L","A"))))))),
IF('Dados da OS'!$D$8=Parâmetros!$B$6,"Indicativa",
IF('Dados da OS'!$D$8=Parâmetros!$B$5,"PFS","")))</f>
        <v/>
      </c>
      <c r="AF145" s="57">
        <f>IFERROR(VLOOKUP(W145,'Fatores de Impacto e INMs'!$A$3:$D$32,3,0),1)</f>
        <v>1</v>
      </c>
      <c r="AG145" s="57">
        <f>IFERROR(VLOOKUP(W145,'Fatores de Impacto e INMs'!$A$3:$E$32,5,0),1)</f>
        <v>1</v>
      </c>
      <c r="AH145" s="82" t="str">
        <f xml:space="preserve">
IF(OR('Dados da OS'!$D$8="Selecione o tipo da contagem",ISBLANK('Dados da OS'!$D$8),V145="INM",V145="N/A",ISBLANK(V145),ISBLANK(W145),AG145="VF"),"-",
   IF('Dados da OS'!$D$8=Parâmetros!$B$3,
      IF(OR(ISBLANK(X145),ISBLANK(Z145)),"-",
         IF(AE145="L","Baixa",IF(AE145="A","Média",IF(AE145="H","Alta","-")))),
      IF('Dados da OS'!$D$8=Parâmetros!$B$4,
         IF(OR(V145="ALI",V145="AIE"),"Baixa",IF(OR(V145="EE",V145="SE",V145="CE"),"Média","-")),
         IF(OR('Dados da OS'!$D$8=Parâmetros!$B$5,'Dados da OS'!$D$8=Parâmetros!$B$6),"-"))))</f>
        <v>-</v>
      </c>
      <c r="AI145" s="83" t="str">
        <f xml:space="preserve">
IF(OR(ISBLANK(V145),ISBLANK(U145),ISBLANK(W145),V145="N/A",ISBLANK('Dados da OS'!$D$8)),"",
   IF(OR('Dados da OS'!$D$8=Parâmetros!$B$3,'Dados da OS'!$D$8=Parâmetros!$B$4),
      IF(OR(AND(V145="INM",AG145&lt;&gt;"VF"),AND(AG145="VF",V145&lt;&gt;"INM")),"",
        IF(AND(V145="INM",AG145="VF"),IF(ISBLANK(AB145),"",AF145*AB145),
        IF('Dados da OS'!$D$8=Parâmetros!$B$4,
           IF(OR(V145="CE",V145="EE"),4,IF(V145="SE",5,IF(V145="ALI",7,IF(V145="AIE",5,"")))),
        IF('Dados da OS'!$D$8=Parâmetros!$B$3,
           IF(OR(ISBLANK(X145),ISBLANK(Z145)),"",
              IF(V145="ALI",IF(AE145="L",7,IF(AE145="A",10,15)),
                 IF(V145="AIE",IF(AE145="L",5,IF(AE145="A",7,10)),
                    IF(V145="SE",IF(AE145="L",4,IF(AE145="A",5,7)),
                       IF(OR(V145="EE",V145="CE"),IF(AE145="L",3,IF(AE145="A",4,6)),""))))))))),
   IF('Dados da OS'!$D$8=Parâmetros!$B$5,
      IF(OR(AND(V145="INM",AG145&lt;&gt;"VF"),AND(AG145="VF",V145&lt;&gt;"INM")),"",
         IF(V145="INM",IF(AG145="VF",AF145*AB145,""),
            IF(V145="PE",4.6,
            IF(V145="AL",7,"")))),
   IF('Dados da OS'!$D$8=Parâmetros!$B$6,
      IF(V145="ALI",35,IF(V145="AIE",15,"")),""))
    )
)</f>
        <v/>
      </c>
      <c r="AJ145" s="82" t="str">
        <f t="shared" si="22"/>
        <v/>
      </c>
      <c r="AK145" s="84"/>
      <c r="AL145" s="85" t="s">
        <v>21</v>
      </c>
      <c r="AM145" s="86"/>
      <c r="AN145" s="85"/>
      <c r="AO145" s="87"/>
      <c r="AP145" s="85"/>
      <c r="AQ145" s="86"/>
      <c r="AR145" s="85"/>
    </row>
    <row r="146" spans="1:44" ht="15.75" customHeight="1">
      <c r="A146" s="54"/>
      <c r="B146" s="100"/>
      <c r="C146" s="55"/>
      <c r="D146" s="55"/>
      <c r="E146" s="56"/>
      <c r="F146" s="55"/>
      <c r="G146" s="56"/>
      <c r="H146" s="55"/>
      <c r="I146" s="64"/>
      <c r="J146" s="57" t="str">
        <f t="shared" si="17"/>
        <v/>
      </c>
      <c r="K146" s="57" t="str">
        <f t="shared" si="18"/>
        <v/>
      </c>
      <c r="L146" s="57" t="str">
        <f xml:space="preserve">
IF(OR('Dados da OS'!$D$8=Parâmetros!$B$3,'Dados da OS'!$D$8=Parâmetros!$B$4),
  IF(OR(ISBLANK(D146),ISBLANK(F146)),
     IF(OR(B146="ALI",B146="AIE"),"L",IF(ISBLANK(B146),"","A")),
     IF(B146="EE",IF(F146&gt;=3,IF(D146&gt;=5,"H","A"),
     IF(F146&gt;=2,IF(D146&gt;=16,"H",IF(D146&lt;=4,"L","A")),IF(D146&lt;=15,"L","A"))),
     IF(OR(B146="SE",B146="CE"),IF(F146&gt;=4,IF(D146&gt;=6,"H","A"),IF(F146&gt;=2,IF(D146&gt;=20,"H",IF(D146&lt;=5,"L","A")),IF(D146&lt;=19,"L","A"))),
     IF(OR(B146="ALI",B146="AIE"),IF(F146&gt;=6,IF(D146&gt;=20,"H","A"),IF(F146&gt;=2,IF(D146&gt;=51,"H",IF(D146&lt;=19,"L","A")),IF(D146&lt;=50,"L","A"))))))),
IF('Dados da OS'!$D$8=Parâmetros!$B$6,"Indicativa",
IF('Dados da OS'!$D$8=Parâmetros!$B$5,"PFS","")))</f>
        <v/>
      </c>
      <c r="M146" s="57">
        <f>IFERROR(VLOOKUP(C146,'Fatores de Impacto e INMs'!$A$3:$D$32,3,0),1)</f>
        <v>1</v>
      </c>
      <c r="N146" s="57">
        <f>IFERROR(VLOOKUP(C146,'Fatores de Impacto e INMs'!$A$3:$E$32,5,0),1)</f>
        <v>1</v>
      </c>
      <c r="O146" s="63" t="str">
        <f xml:space="preserve">
IF(OR('Dados da OS'!$D$8="Selecione o tipo da contagem",ISBLANK('Dados da OS'!$D$8),B146="INM",B146="N/A",ISBLANK(B146),ISBLANK(C146),N146="VF"),"-",
   IF('Dados da OS'!$D$8=Parâmetros!$B$3,
      IF(OR(ISBLANK(D146),ISBLANK(F146)),"-",
         IF(L146="L","Baixa",IF(L146="A","Média",IF(L146="H","Alta","-")))),
      IF('Dados da OS'!$D$8=Parâmetros!$B$4,
         IF(OR(B146="ALI",B146="AIE"),"Baixa",IF(OR(B146="EE",B146="SE",B146="CE"),"Média","-")),
         IF(OR('Dados da OS'!$D$8=Parâmetros!$B$5,'Dados da OS'!$D$8=Parâmetros!$B$6),"-"))))</f>
        <v>-</v>
      </c>
      <c r="P146" s="59" t="str">
        <f xml:space="preserve">
IF(OR(ISBLANK(B146),ISBLANK(C146),B146="N/A",ISBLANK('Dados da OS'!$D$8)),"",
   IF(OR('Dados da OS'!$D$8=Parâmetros!$B$3,'Dados da OS'!$D$8=Parâmetros!$B$4),
      IF(OR(AND(B146="INM",N146&lt;&gt;"VF"),AND(N146="VF",B146&lt;&gt;"INM")),"",
        IF(AND(B146="INM",N146="VF"),IF(ISBLANK(H146),"",M146*H146),
        IF('Dados da OS'!$D$8=Parâmetros!$B$4,
           IF(OR(B146="CE",B146="EE"),4,IF(B146="SE",5,IF(B146="ALI",7,IF(B146="AIE",5,"")))),
        IF('Dados da OS'!$D$8=Parâmetros!$B$3,
           IF(OR(ISBLANK(D146),ISBLANK(F146)),"",
              IF(B146="ALI",IF(L146="L",7,IF(L146="A",10,15)),
                 IF(B146="AIE",IF(L146="L",5,IF(L146="A",7,10)),
                    IF(B146="SE",IF(L146="L",4,IF(L146="A",5,7)),
                       IF(OR(B146="EE",B146="CE"),IF(L146="L",3,IF(L146="A",4,6)),""))))))))),
   IF('Dados da OS'!$D$8=Parâmetros!$B$5,
      IF(OR(AND(B146="INM",N146&lt;&gt;"VF"),AND(N146="VF",B146&lt;&gt;"INM")),"",
         IF(B146="INM",IF(N146="VF",M146*H146,""),
            IF(B146="PE",4.6,
            IF(B146="AL",7,"")))),
   IF('Dados da OS'!$D$8=Parâmetros!$B$6,
      IF(B146="ALI",35,IF(B146="AIE",15,"")),""))
    )
)</f>
        <v/>
      </c>
      <c r="Q146" s="60" t="str">
        <f t="shared" si="19"/>
        <v/>
      </c>
      <c r="R146" s="61"/>
      <c r="S146" s="62"/>
      <c r="T146" s="80" t="s">
        <v>21</v>
      </c>
      <c r="U146" s="81"/>
      <c r="V146" s="99"/>
      <c r="W146" s="55"/>
      <c r="X146" s="55"/>
      <c r="Y146" s="56"/>
      <c r="Z146" s="55"/>
      <c r="AA146" s="56"/>
      <c r="AB146" s="55"/>
      <c r="AC146" s="57" t="str">
        <f t="shared" si="20"/>
        <v/>
      </c>
      <c r="AD146" s="57" t="str">
        <f t="shared" si="21"/>
        <v/>
      </c>
      <c r="AE146" s="57" t="str">
        <f xml:space="preserve">
IF(OR('Dados da OS'!$D$8=Parâmetros!$B$3,'Dados da OS'!$D$8=Parâmetros!$B$4),
  IF(OR(ISBLANK(X146),ISBLANK(Z146)),
     IF(OR(V146="ALI",V146="AIE"),"L",IF(ISBLANK(V146),"","A")),
     IF(V146="EE",IF(Z146&gt;=3,IF(X146&gt;=5,"H","A"),
     IF(Z146&gt;=2,IF(X146&gt;=16,"H",IF(X146&lt;=4,"L","A")),IF(X146&lt;=15,"L","A"))),
     IF(OR(V146="SE",V146="CE"),IF(Z146&gt;=4,IF(X146&gt;=6,"H","A"),IF(Z146&gt;=2,IF(X146&gt;=20,"H",IF(X146&lt;=5,"L","A")),IF(X146&lt;=19,"L","A"))),
     IF(OR(V146="ALI",V146="AIE"),IF(Z146&gt;=6,IF(X146&gt;=20,"H","A"),IF(Z146&gt;=2,IF(X146&gt;=51,"H",IF(X146&lt;=19,"L","A")),IF(X146&lt;=50,"L","A"))))))),
IF('Dados da OS'!$D$8=Parâmetros!$B$6,"Indicativa",
IF('Dados da OS'!$D$8=Parâmetros!$B$5,"PFS","")))</f>
        <v/>
      </c>
      <c r="AF146" s="57">
        <f>IFERROR(VLOOKUP(W146,'Fatores de Impacto e INMs'!$A$3:$D$32,3,0),1)</f>
        <v>1</v>
      </c>
      <c r="AG146" s="57">
        <f>IFERROR(VLOOKUP(W146,'Fatores de Impacto e INMs'!$A$3:$E$32,5,0),1)</f>
        <v>1</v>
      </c>
      <c r="AH146" s="82" t="str">
        <f xml:space="preserve">
IF(OR('Dados da OS'!$D$8="Selecione o tipo da contagem",ISBLANK('Dados da OS'!$D$8),V146="INM",V146="N/A",ISBLANK(V146),ISBLANK(W146),AG146="VF"),"-",
   IF('Dados da OS'!$D$8=Parâmetros!$B$3,
      IF(OR(ISBLANK(X146),ISBLANK(Z146)),"-",
         IF(AE146="L","Baixa",IF(AE146="A","Média",IF(AE146="H","Alta","-")))),
      IF('Dados da OS'!$D$8=Parâmetros!$B$4,
         IF(OR(V146="ALI",V146="AIE"),"Baixa",IF(OR(V146="EE",V146="SE",V146="CE"),"Média","-")),
         IF(OR('Dados da OS'!$D$8=Parâmetros!$B$5,'Dados da OS'!$D$8=Parâmetros!$B$6),"-"))))</f>
        <v>-</v>
      </c>
      <c r="AI146" s="83" t="str">
        <f xml:space="preserve">
IF(OR(ISBLANK(V146),ISBLANK(U146),ISBLANK(W146),V146="N/A",ISBLANK('Dados da OS'!$D$8)),"",
   IF(OR('Dados da OS'!$D$8=Parâmetros!$B$3,'Dados da OS'!$D$8=Parâmetros!$B$4),
      IF(OR(AND(V146="INM",AG146&lt;&gt;"VF"),AND(AG146="VF",V146&lt;&gt;"INM")),"",
        IF(AND(V146="INM",AG146="VF"),IF(ISBLANK(AB146),"",AF146*AB146),
        IF('Dados da OS'!$D$8=Parâmetros!$B$4,
           IF(OR(V146="CE",V146="EE"),4,IF(V146="SE",5,IF(V146="ALI",7,IF(V146="AIE",5,"")))),
        IF('Dados da OS'!$D$8=Parâmetros!$B$3,
           IF(OR(ISBLANK(X146),ISBLANK(Z146)),"",
              IF(V146="ALI",IF(AE146="L",7,IF(AE146="A",10,15)),
                 IF(V146="AIE",IF(AE146="L",5,IF(AE146="A",7,10)),
                    IF(V146="SE",IF(AE146="L",4,IF(AE146="A",5,7)),
                       IF(OR(V146="EE",V146="CE"),IF(AE146="L",3,IF(AE146="A",4,6)),""))))))))),
   IF('Dados da OS'!$D$8=Parâmetros!$B$5,
      IF(OR(AND(V146="INM",AG146&lt;&gt;"VF"),AND(AG146="VF",V146&lt;&gt;"INM")),"",
         IF(V146="INM",IF(AG146="VF",AF146*AB146,""),
            IF(V146="PE",4.6,
            IF(V146="AL",7,"")))),
   IF('Dados da OS'!$D$8=Parâmetros!$B$6,
      IF(V146="ALI",35,IF(V146="AIE",15,"")),""))
    )
)</f>
        <v/>
      </c>
      <c r="AJ146" s="82" t="str">
        <f t="shared" si="22"/>
        <v/>
      </c>
      <c r="AK146" s="84"/>
      <c r="AL146" s="85" t="s">
        <v>21</v>
      </c>
      <c r="AM146" s="86"/>
      <c r="AN146" s="85"/>
      <c r="AO146" s="87"/>
      <c r="AP146" s="85"/>
      <c r="AQ146" s="86"/>
      <c r="AR146" s="85"/>
    </row>
    <row r="147" spans="1:44" ht="15.75" customHeight="1">
      <c r="A147" s="54"/>
      <c r="B147" s="100"/>
      <c r="C147" s="55"/>
      <c r="D147" s="55"/>
      <c r="E147" s="56"/>
      <c r="F147" s="55"/>
      <c r="G147" s="56"/>
      <c r="H147" s="55"/>
      <c r="I147" s="64"/>
      <c r="J147" s="57" t="str">
        <f t="shared" si="17"/>
        <v/>
      </c>
      <c r="K147" s="57" t="str">
        <f t="shared" si="18"/>
        <v/>
      </c>
      <c r="L147" s="57" t="str">
        <f xml:space="preserve">
IF(OR('Dados da OS'!$D$8=Parâmetros!$B$3,'Dados da OS'!$D$8=Parâmetros!$B$4),
  IF(OR(ISBLANK(D147),ISBLANK(F147)),
     IF(OR(B147="ALI",B147="AIE"),"L",IF(ISBLANK(B147),"","A")),
     IF(B147="EE",IF(F147&gt;=3,IF(D147&gt;=5,"H","A"),
     IF(F147&gt;=2,IF(D147&gt;=16,"H",IF(D147&lt;=4,"L","A")),IF(D147&lt;=15,"L","A"))),
     IF(OR(B147="SE",B147="CE"),IF(F147&gt;=4,IF(D147&gt;=6,"H","A"),IF(F147&gt;=2,IF(D147&gt;=20,"H",IF(D147&lt;=5,"L","A")),IF(D147&lt;=19,"L","A"))),
     IF(OR(B147="ALI",B147="AIE"),IF(F147&gt;=6,IF(D147&gt;=20,"H","A"),IF(F147&gt;=2,IF(D147&gt;=51,"H",IF(D147&lt;=19,"L","A")),IF(D147&lt;=50,"L","A"))))))),
IF('Dados da OS'!$D$8=Parâmetros!$B$6,"Indicativa",
IF('Dados da OS'!$D$8=Parâmetros!$B$5,"PFS","")))</f>
        <v/>
      </c>
      <c r="M147" s="57">
        <f>IFERROR(VLOOKUP(C147,'Fatores de Impacto e INMs'!$A$3:$D$32,3,0),1)</f>
        <v>1</v>
      </c>
      <c r="N147" s="57">
        <f>IFERROR(VLOOKUP(C147,'Fatores de Impacto e INMs'!$A$3:$E$32,5,0),1)</f>
        <v>1</v>
      </c>
      <c r="O147" s="63" t="str">
        <f xml:space="preserve">
IF(OR('Dados da OS'!$D$8="Selecione o tipo da contagem",ISBLANK('Dados da OS'!$D$8),B147="INM",B147="N/A",ISBLANK(B147),ISBLANK(C147),N147="VF"),"-",
   IF('Dados da OS'!$D$8=Parâmetros!$B$3,
      IF(OR(ISBLANK(D147),ISBLANK(F147)),"-",
         IF(L147="L","Baixa",IF(L147="A","Média",IF(L147="H","Alta","-")))),
      IF('Dados da OS'!$D$8=Parâmetros!$B$4,
         IF(OR(B147="ALI",B147="AIE"),"Baixa",IF(OR(B147="EE",B147="SE",B147="CE"),"Média","-")),
         IF(OR('Dados da OS'!$D$8=Parâmetros!$B$5,'Dados da OS'!$D$8=Parâmetros!$B$6),"-"))))</f>
        <v>-</v>
      </c>
      <c r="P147" s="59" t="str">
        <f xml:space="preserve">
IF(OR(ISBLANK(B147),ISBLANK(C147),B147="N/A",ISBLANK('Dados da OS'!$D$8)),"",
   IF(OR('Dados da OS'!$D$8=Parâmetros!$B$3,'Dados da OS'!$D$8=Parâmetros!$B$4),
      IF(OR(AND(B147="INM",N147&lt;&gt;"VF"),AND(N147="VF",B147&lt;&gt;"INM")),"",
        IF(AND(B147="INM",N147="VF"),IF(ISBLANK(H147),"",M147*H147),
        IF('Dados da OS'!$D$8=Parâmetros!$B$4,
           IF(OR(B147="CE",B147="EE"),4,IF(B147="SE",5,IF(B147="ALI",7,IF(B147="AIE",5,"")))),
        IF('Dados da OS'!$D$8=Parâmetros!$B$3,
           IF(OR(ISBLANK(D147),ISBLANK(F147)),"",
              IF(B147="ALI",IF(L147="L",7,IF(L147="A",10,15)),
                 IF(B147="AIE",IF(L147="L",5,IF(L147="A",7,10)),
                    IF(B147="SE",IF(L147="L",4,IF(L147="A",5,7)),
                       IF(OR(B147="EE",B147="CE"),IF(L147="L",3,IF(L147="A",4,6)),""))))))))),
   IF('Dados da OS'!$D$8=Parâmetros!$B$5,
      IF(OR(AND(B147="INM",N147&lt;&gt;"VF"),AND(N147="VF",B147&lt;&gt;"INM")),"",
         IF(B147="INM",IF(N147="VF",M147*H147,""),
            IF(B147="PE",4.6,
            IF(B147="AL",7,"")))),
   IF('Dados da OS'!$D$8=Parâmetros!$B$6,
      IF(B147="ALI",35,IF(B147="AIE",15,"")),""))
    )
)</f>
        <v/>
      </c>
      <c r="Q147" s="60" t="str">
        <f t="shared" si="19"/>
        <v/>
      </c>
      <c r="R147" s="61"/>
      <c r="S147" s="62"/>
      <c r="T147" s="80" t="s">
        <v>21</v>
      </c>
      <c r="U147" s="81"/>
      <c r="V147" s="99"/>
      <c r="W147" s="55"/>
      <c r="X147" s="55"/>
      <c r="Y147" s="56"/>
      <c r="Z147" s="55"/>
      <c r="AA147" s="56"/>
      <c r="AB147" s="55"/>
      <c r="AC147" s="57" t="str">
        <f t="shared" si="20"/>
        <v/>
      </c>
      <c r="AD147" s="57" t="str">
        <f t="shared" si="21"/>
        <v/>
      </c>
      <c r="AE147" s="57" t="str">
        <f xml:space="preserve">
IF(OR('Dados da OS'!$D$8=Parâmetros!$B$3,'Dados da OS'!$D$8=Parâmetros!$B$4),
  IF(OR(ISBLANK(X147),ISBLANK(Z147)),
     IF(OR(V147="ALI",V147="AIE"),"L",IF(ISBLANK(V147),"","A")),
     IF(V147="EE",IF(Z147&gt;=3,IF(X147&gt;=5,"H","A"),
     IF(Z147&gt;=2,IF(X147&gt;=16,"H",IF(X147&lt;=4,"L","A")),IF(X147&lt;=15,"L","A"))),
     IF(OR(V147="SE",V147="CE"),IF(Z147&gt;=4,IF(X147&gt;=6,"H","A"),IF(Z147&gt;=2,IF(X147&gt;=20,"H",IF(X147&lt;=5,"L","A")),IF(X147&lt;=19,"L","A"))),
     IF(OR(V147="ALI",V147="AIE"),IF(Z147&gt;=6,IF(X147&gt;=20,"H","A"),IF(Z147&gt;=2,IF(X147&gt;=51,"H",IF(X147&lt;=19,"L","A")),IF(X147&lt;=50,"L","A"))))))),
IF('Dados da OS'!$D$8=Parâmetros!$B$6,"Indicativa",
IF('Dados da OS'!$D$8=Parâmetros!$B$5,"PFS","")))</f>
        <v/>
      </c>
      <c r="AF147" s="57">
        <f>IFERROR(VLOOKUP(W147,'Fatores de Impacto e INMs'!$A$3:$D$32,3,0),1)</f>
        <v>1</v>
      </c>
      <c r="AG147" s="57">
        <f>IFERROR(VLOOKUP(W147,'Fatores de Impacto e INMs'!$A$3:$E$32,5,0),1)</f>
        <v>1</v>
      </c>
      <c r="AH147" s="82" t="str">
        <f xml:space="preserve">
IF(OR('Dados da OS'!$D$8="Selecione o tipo da contagem",ISBLANK('Dados da OS'!$D$8),V147="INM",V147="N/A",ISBLANK(V147),ISBLANK(W147),AG147="VF"),"-",
   IF('Dados da OS'!$D$8=Parâmetros!$B$3,
      IF(OR(ISBLANK(X147),ISBLANK(Z147)),"-",
         IF(AE147="L","Baixa",IF(AE147="A","Média",IF(AE147="H","Alta","-")))),
      IF('Dados da OS'!$D$8=Parâmetros!$B$4,
         IF(OR(V147="ALI",V147="AIE"),"Baixa",IF(OR(V147="EE",V147="SE",V147="CE"),"Média","-")),
         IF(OR('Dados da OS'!$D$8=Parâmetros!$B$5,'Dados da OS'!$D$8=Parâmetros!$B$6),"-"))))</f>
        <v>-</v>
      </c>
      <c r="AI147" s="83" t="str">
        <f xml:space="preserve">
IF(OR(ISBLANK(V147),ISBLANK(U147),ISBLANK(W147),V147="N/A",ISBLANK('Dados da OS'!$D$8)),"",
   IF(OR('Dados da OS'!$D$8=Parâmetros!$B$3,'Dados da OS'!$D$8=Parâmetros!$B$4),
      IF(OR(AND(V147="INM",AG147&lt;&gt;"VF"),AND(AG147="VF",V147&lt;&gt;"INM")),"",
        IF(AND(V147="INM",AG147="VF"),IF(ISBLANK(AB147),"",AF147*AB147),
        IF('Dados da OS'!$D$8=Parâmetros!$B$4,
           IF(OR(V147="CE",V147="EE"),4,IF(V147="SE",5,IF(V147="ALI",7,IF(V147="AIE",5,"")))),
        IF('Dados da OS'!$D$8=Parâmetros!$B$3,
           IF(OR(ISBLANK(X147),ISBLANK(Z147)),"",
              IF(V147="ALI",IF(AE147="L",7,IF(AE147="A",10,15)),
                 IF(V147="AIE",IF(AE147="L",5,IF(AE147="A",7,10)),
                    IF(V147="SE",IF(AE147="L",4,IF(AE147="A",5,7)),
                       IF(OR(V147="EE",V147="CE"),IF(AE147="L",3,IF(AE147="A",4,6)),""))))))))),
   IF('Dados da OS'!$D$8=Parâmetros!$B$5,
      IF(OR(AND(V147="INM",AG147&lt;&gt;"VF"),AND(AG147="VF",V147&lt;&gt;"INM")),"",
         IF(V147="INM",IF(AG147="VF",AF147*AB147,""),
            IF(V147="PE",4.6,
            IF(V147="AL",7,"")))),
   IF('Dados da OS'!$D$8=Parâmetros!$B$6,
      IF(V147="ALI",35,IF(V147="AIE",15,"")),""))
    )
)</f>
        <v/>
      </c>
      <c r="AJ147" s="82" t="str">
        <f t="shared" si="22"/>
        <v/>
      </c>
      <c r="AK147" s="84"/>
      <c r="AL147" s="85" t="s">
        <v>21</v>
      </c>
      <c r="AM147" s="86"/>
      <c r="AN147" s="85"/>
      <c r="AO147" s="87"/>
      <c r="AP147" s="85"/>
      <c r="AQ147" s="86"/>
      <c r="AR147" s="85"/>
    </row>
    <row r="148" spans="1:44" ht="15.75" customHeight="1">
      <c r="A148" s="54"/>
      <c r="B148" s="100"/>
      <c r="C148" s="55"/>
      <c r="D148" s="55"/>
      <c r="E148" s="56"/>
      <c r="F148" s="55"/>
      <c r="G148" s="56"/>
      <c r="H148" s="55"/>
      <c r="I148" s="64"/>
      <c r="J148" s="57" t="str">
        <f t="shared" si="17"/>
        <v/>
      </c>
      <c r="K148" s="57" t="str">
        <f t="shared" si="18"/>
        <v/>
      </c>
      <c r="L148" s="57" t="str">
        <f xml:space="preserve">
IF(OR('Dados da OS'!$D$8=Parâmetros!$B$3,'Dados da OS'!$D$8=Parâmetros!$B$4),
  IF(OR(ISBLANK(D148),ISBLANK(F148)),
     IF(OR(B148="ALI",B148="AIE"),"L",IF(ISBLANK(B148),"","A")),
     IF(B148="EE",IF(F148&gt;=3,IF(D148&gt;=5,"H","A"),
     IF(F148&gt;=2,IF(D148&gt;=16,"H",IF(D148&lt;=4,"L","A")),IF(D148&lt;=15,"L","A"))),
     IF(OR(B148="SE",B148="CE"),IF(F148&gt;=4,IF(D148&gt;=6,"H","A"),IF(F148&gt;=2,IF(D148&gt;=20,"H",IF(D148&lt;=5,"L","A")),IF(D148&lt;=19,"L","A"))),
     IF(OR(B148="ALI",B148="AIE"),IF(F148&gt;=6,IF(D148&gt;=20,"H","A"),IF(F148&gt;=2,IF(D148&gt;=51,"H",IF(D148&lt;=19,"L","A")),IF(D148&lt;=50,"L","A"))))))),
IF('Dados da OS'!$D$8=Parâmetros!$B$6,"Indicativa",
IF('Dados da OS'!$D$8=Parâmetros!$B$5,"PFS","")))</f>
        <v/>
      </c>
      <c r="M148" s="57">
        <f>IFERROR(VLOOKUP(C148,'Fatores de Impacto e INMs'!$A$3:$D$32,3,0),1)</f>
        <v>1</v>
      </c>
      <c r="N148" s="57">
        <f>IFERROR(VLOOKUP(C148,'Fatores de Impacto e INMs'!$A$3:$E$32,5,0),1)</f>
        <v>1</v>
      </c>
      <c r="O148" s="63" t="str">
        <f xml:space="preserve">
IF(OR('Dados da OS'!$D$8="Selecione o tipo da contagem",ISBLANK('Dados da OS'!$D$8),B148="INM",B148="N/A",ISBLANK(B148),ISBLANK(C148),N148="VF"),"-",
   IF('Dados da OS'!$D$8=Parâmetros!$B$3,
      IF(OR(ISBLANK(D148),ISBLANK(F148)),"-",
         IF(L148="L","Baixa",IF(L148="A","Média",IF(L148="H","Alta","-")))),
      IF('Dados da OS'!$D$8=Parâmetros!$B$4,
         IF(OR(B148="ALI",B148="AIE"),"Baixa",IF(OR(B148="EE",B148="SE",B148="CE"),"Média","-")),
         IF(OR('Dados da OS'!$D$8=Parâmetros!$B$5,'Dados da OS'!$D$8=Parâmetros!$B$6),"-"))))</f>
        <v>-</v>
      </c>
      <c r="P148" s="59" t="str">
        <f xml:space="preserve">
IF(OR(ISBLANK(B148),ISBLANK(C148),B148="N/A",ISBLANK('Dados da OS'!$D$8)),"",
   IF(OR('Dados da OS'!$D$8=Parâmetros!$B$3,'Dados da OS'!$D$8=Parâmetros!$B$4),
      IF(OR(AND(B148="INM",N148&lt;&gt;"VF"),AND(N148="VF",B148&lt;&gt;"INM")),"",
        IF(AND(B148="INM",N148="VF"),IF(ISBLANK(H148),"",M148*H148),
        IF('Dados da OS'!$D$8=Parâmetros!$B$4,
           IF(OR(B148="CE",B148="EE"),4,IF(B148="SE",5,IF(B148="ALI",7,IF(B148="AIE",5,"")))),
        IF('Dados da OS'!$D$8=Parâmetros!$B$3,
           IF(OR(ISBLANK(D148),ISBLANK(F148)),"",
              IF(B148="ALI",IF(L148="L",7,IF(L148="A",10,15)),
                 IF(B148="AIE",IF(L148="L",5,IF(L148="A",7,10)),
                    IF(B148="SE",IF(L148="L",4,IF(L148="A",5,7)),
                       IF(OR(B148="EE",B148="CE"),IF(L148="L",3,IF(L148="A",4,6)),""))))))))),
   IF('Dados da OS'!$D$8=Parâmetros!$B$5,
      IF(OR(AND(B148="INM",N148&lt;&gt;"VF"),AND(N148="VF",B148&lt;&gt;"INM")),"",
         IF(B148="INM",IF(N148="VF",M148*H148,""),
            IF(B148="PE",4.6,
            IF(B148="AL",7,"")))),
   IF('Dados da OS'!$D$8=Parâmetros!$B$6,
      IF(B148="ALI",35,IF(B148="AIE",15,"")),""))
    )
)</f>
        <v/>
      </c>
      <c r="Q148" s="60" t="str">
        <f t="shared" si="19"/>
        <v/>
      </c>
      <c r="R148" s="61"/>
      <c r="S148" s="62"/>
      <c r="T148" s="80" t="s">
        <v>21</v>
      </c>
      <c r="U148" s="81"/>
      <c r="V148" s="99"/>
      <c r="W148" s="55"/>
      <c r="X148" s="55"/>
      <c r="Y148" s="56"/>
      <c r="Z148" s="55"/>
      <c r="AA148" s="56"/>
      <c r="AB148" s="55"/>
      <c r="AC148" s="57" t="str">
        <f t="shared" si="20"/>
        <v/>
      </c>
      <c r="AD148" s="57" t="str">
        <f t="shared" si="21"/>
        <v/>
      </c>
      <c r="AE148" s="57" t="str">
        <f xml:space="preserve">
IF(OR('Dados da OS'!$D$8=Parâmetros!$B$3,'Dados da OS'!$D$8=Parâmetros!$B$4),
  IF(OR(ISBLANK(X148),ISBLANK(Z148)),
     IF(OR(V148="ALI",V148="AIE"),"L",IF(ISBLANK(V148),"","A")),
     IF(V148="EE",IF(Z148&gt;=3,IF(X148&gt;=5,"H","A"),
     IF(Z148&gt;=2,IF(X148&gt;=16,"H",IF(X148&lt;=4,"L","A")),IF(X148&lt;=15,"L","A"))),
     IF(OR(V148="SE",V148="CE"),IF(Z148&gt;=4,IF(X148&gt;=6,"H","A"),IF(Z148&gt;=2,IF(X148&gt;=20,"H",IF(X148&lt;=5,"L","A")),IF(X148&lt;=19,"L","A"))),
     IF(OR(V148="ALI",V148="AIE"),IF(Z148&gt;=6,IF(X148&gt;=20,"H","A"),IF(Z148&gt;=2,IF(X148&gt;=51,"H",IF(X148&lt;=19,"L","A")),IF(X148&lt;=50,"L","A"))))))),
IF('Dados da OS'!$D$8=Parâmetros!$B$6,"Indicativa",
IF('Dados da OS'!$D$8=Parâmetros!$B$5,"PFS","")))</f>
        <v/>
      </c>
      <c r="AF148" s="57">
        <f>IFERROR(VLOOKUP(W148,'Fatores de Impacto e INMs'!$A$3:$D$32,3,0),1)</f>
        <v>1</v>
      </c>
      <c r="AG148" s="57">
        <f>IFERROR(VLOOKUP(W148,'Fatores de Impacto e INMs'!$A$3:$E$32,5,0),1)</f>
        <v>1</v>
      </c>
      <c r="AH148" s="82" t="str">
        <f xml:space="preserve">
IF(OR('Dados da OS'!$D$8="Selecione o tipo da contagem",ISBLANK('Dados da OS'!$D$8),V148="INM",V148="N/A",ISBLANK(V148),ISBLANK(W148),AG148="VF"),"-",
   IF('Dados da OS'!$D$8=Parâmetros!$B$3,
      IF(OR(ISBLANK(X148),ISBLANK(Z148)),"-",
         IF(AE148="L","Baixa",IF(AE148="A","Média",IF(AE148="H","Alta","-")))),
      IF('Dados da OS'!$D$8=Parâmetros!$B$4,
         IF(OR(V148="ALI",V148="AIE"),"Baixa",IF(OR(V148="EE",V148="SE",V148="CE"),"Média","-")),
         IF(OR('Dados da OS'!$D$8=Parâmetros!$B$5,'Dados da OS'!$D$8=Parâmetros!$B$6),"-"))))</f>
        <v>-</v>
      </c>
      <c r="AI148" s="83" t="str">
        <f xml:space="preserve">
IF(OR(ISBLANK(V148),ISBLANK(U148),ISBLANK(W148),V148="N/A",ISBLANK('Dados da OS'!$D$8)),"",
   IF(OR('Dados da OS'!$D$8=Parâmetros!$B$3,'Dados da OS'!$D$8=Parâmetros!$B$4),
      IF(OR(AND(V148="INM",AG148&lt;&gt;"VF"),AND(AG148="VF",V148&lt;&gt;"INM")),"",
        IF(AND(V148="INM",AG148="VF"),IF(ISBLANK(AB148),"",AF148*AB148),
        IF('Dados da OS'!$D$8=Parâmetros!$B$4,
           IF(OR(V148="CE",V148="EE"),4,IF(V148="SE",5,IF(V148="ALI",7,IF(V148="AIE",5,"")))),
        IF('Dados da OS'!$D$8=Parâmetros!$B$3,
           IF(OR(ISBLANK(X148),ISBLANK(Z148)),"",
              IF(V148="ALI",IF(AE148="L",7,IF(AE148="A",10,15)),
                 IF(V148="AIE",IF(AE148="L",5,IF(AE148="A",7,10)),
                    IF(V148="SE",IF(AE148="L",4,IF(AE148="A",5,7)),
                       IF(OR(V148="EE",V148="CE"),IF(AE148="L",3,IF(AE148="A",4,6)),""))))))))),
   IF('Dados da OS'!$D$8=Parâmetros!$B$5,
      IF(OR(AND(V148="INM",AG148&lt;&gt;"VF"),AND(AG148="VF",V148&lt;&gt;"INM")),"",
         IF(V148="INM",IF(AG148="VF",AF148*AB148,""),
            IF(V148="PE",4.6,
            IF(V148="AL",7,"")))),
   IF('Dados da OS'!$D$8=Parâmetros!$B$6,
      IF(V148="ALI",35,IF(V148="AIE",15,"")),""))
    )
)</f>
        <v/>
      </c>
      <c r="AJ148" s="82" t="str">
        <f t="shared" si="22"/>
        <v/>
      </c>
      <c r="AK148" s="84"/>
      <c r="AL148" s="85" t="s">
        <v>21</v>
      </c>
      <c r="AM148" s="86"/>
      <c r="AN148" s="85"/>
      <c r="AO148" s="87"/>
      <c r="AP148" s="85"/>
      <c r="AQ148" s="86"/>
      <c r="AR148" s="85"/>
    </row>
    <row r="149" spans="1:44" ht="15.75" customHeight="1">
      <c r="A149" s="54"/>
      <c r="B149" s="100"/>
      <c r="C149" s="55"/>
      <c r="D149" s="55"/>
      <c r="E149" s="56"/>
      <c r="F149" s="55"/>
      <c r="G149" s="56"/>
      <c r="H149" s="55"/>
      <c r="I149" s="64"/>
      <c r="J149" s="57" t="str">
        <f t="shared" si="17"/>
        <v/>
      </c>
      <c r="K149" s="57" t="str">
        <f t="shared" si="18"/>
        <v/>
      </c>
      <c r="L149" s="57" t="str">
        <f xml:space="preserve">
IF(OR('Dados da OS'!$D$8=Parâmetros!$B$3,'Dados da OS'!$D$8=Parâmetros!$B$4),
  IF(OR(ISBLANK(D149),ISBLANK(F149)),
     IF(OR(B149="ALI",B149="AIE"),"L",IF(ISBLANK(B149),"","A")),
     IF(B149="EE",IF(F149&gt;=3,IF(D149&gt;=5,"H","A"),
     IF(F149&gt;=2,IF(D149&gt;=16,"H",IF(D149&lt;=4,"L","A")),IF(D149&lt;=15,"L","A"))),
     IF(OR(B149="SE",B149="CE"),IF(F149&gt;=4,IF(D149&gt;=6,"H","A"),IF(F149&gt;=2,IF(D149&gt;=20,"H",IF(D149&lt;=5,"L","A")),IF(D149&lt;=19,"L","A"))),
     IF(OR(B149="ALI",B149="AIE"),IF(F149&gt;=6,IF(D149&gt;=20,"H","A"),IF(F149&gt;=2,IF(D149&gt;=51,"H",IF(D149&lt;=19,"L","A")),IF(D149&lt;=50,"L","A"))))))),
IF('Dados da OS'!$D$8=Parâmetros!$B$6,"Indicativa",
IF('Dados da OS'!$D$8=Parâmetros!$B$5,"PFS","")))</f>
        <v/>
      </c>
      <c r="M149" s="57">
        <f>IFERROR(VLOOKUP(C149,'Fatores de Impacto e INMs'!$A$3:$D$32,3,0),1)</f>
        <v>1</v>
      </c>
      <c r="N149" s="57">
        <f>IFERROR(VLOOKUP(C149,'Fatores de Impacto e INMs'!$A$3:$E$32,5,0),1)</f>
        <v>1</v>
      </c>
      <c r="O149" s="63" t="str">
        <f xml:space="preserve">
IF(OR('Dados da OS'!$D$8="Selecione o tipo da contagem",ISBLANK('Dados da OS'!$D$8),B149="INM",B149="N/A",ISBLANK(B149),ISBLANK(C149),N149="VF"),"-",
   IF('Dados da OS'!$D$8=Parâmetros!$B$3,
      IF(OR(ISBLANK(D149),ISBLANK(F149)),"-",
         IF(L149="L","Baixa",IF(L149="A","Média",IF(L149="H","Alta","-")))),
      IF('Dados da OS'!$D$8=Parâmetros!$B$4,
         IF(OR(B149="ALI",B149="AIE"),"Baixa",IF(OR(B149="EE",B149="SE",B149="CE"),"Média","-")),
         IF(OR('Dados da OS'!$D$8=Parâmetros!$B$5,'Dados da OS'!$D$8=Parâmetros!$B$6),"-"))))</f>
        <v>-</v>
      </c>
      <c r="P149" s="59" t="str">
        <f xml:space="preserve">
IF(OR(ISBLANK(B149),ISBLANK(C149),B149="N/A",ISBLANK('Dados da OS'!$D$8)),"",
   IF(OR('Dados da OS'!$D$8=Parâmetros!$B$3,'Dados da OS'!$D$8=Parâmetros!$B$4),
      IF(OR(AND(B149="INM",N149&lt;&gt;"VF"),AND(N149="VF",B149&lt;&gt;"INM")),"",
        IF(AND(B149="INM",N149="VF"),IF(ISBLANK(H149),"",M149*H149),
        IF('Dados da OS'!$D$8=Parâmetros!$B$4,
           IF(OR(B149="CE",B149="EE"),4,IF(B149="SE",5,IF(B149="ALI",7,IF(B149="AIE",5,"")))),
        IF('Dados da OS'!$D$8=Parâmetros!$B$3,
           IF(OR(ISBLANK(D149),ISBLANK(F149)),"",
              IF(B149="ALI",IF(L149="L",7,IF(L149="A",10,15)),
                 IF(B149="AIE",IF(L149="L",5,IF(L149="A",7,10)),
                    IF(B149="SE",IF(L149="L",4,IF(L149="A",5,7)),
                       IF(OR(B149="EE",B149="CE"),IF(L149="L",3,IF(L149="A",4,6)),""))))))))),
   IF('Dados da OS'!$D$8=Parâmetros!$B$5,
      IF(OR(AND(B149="INM",N149&lt;&gt;"VF"),AND(N149="VF",B149&lt;&gt;"INM")),"",
         IF(B149="INM",IF(N149="VF",M149*H149,""),
            IF(B149="PE",4.6,
            IF(B149="AL",7,"")))),
   IF('Dados da OS'!$D$8=Parâmetros!$B$6,
      IF(B149="ALI",35,IF(B149="AIE",15,"")),""))
    )
)</f>
        <v/>
      </c>
      <c r="Q149" s="60" t="str">
        <f t="shared" si="19"/>
        <v/>
      </c>
      <c r="R149" s="61"/>
      <c r="S149" s="62"/>
      <c r="T149" s="80" t="s">
        <v>21</v>
      </c>
      <c r="U149" s="81"/>
      <c r="V149" s="99"/>
      <c r="W149" s="55"/>
      <c r="X149" s="55"/>
      <c r="Y149" s="56"/>
      <c r="Z149" s="55"/>
      <c r="AA149" s="56"/>
      <c r="AB149" s="55"/>
      <c r="AC149" s="57" t="str">
        <f t="shared" si="20"/>
        <v/>
      </c>
      <c r="AD149" s="57" t="str">
        <f t="shared" si="21"/>
        <v/>
      </c>
      <c r="AE149" s="57" t="str">
        <f xml:space="preserve">
IF(OR('Dados da OS'!$D$8=Parâmetros!$B$3,'Dados da OS'!$D$8=Parâmetros!$B$4),
  IF(OR(ISBLANK(X149),ISBLANK(Z149)),
     IF(OR(V149="ALI",V149="AIE"),"L",IF(ISBLANK(V149),"","A")),
     IF(V149="EE",IF(Z149&gt;=3,IF(X149&gt;=5,"H","A"),
     IF(Z149&gt;=2,IF(X149&gt;=16,"H",IF(X149&lt;=4,"L","A")),IF(X149&lt;=15,"L","A"))),
     IF(OR(V149="SE",V149="CE"),IF(Z149&gt;=4,IF(X149&gt;=6,"H","A"),IF(Z149&gt;=2,IF(X149&gt;=20,"H",IF(X149&lt;=5,"L","A")),IF(X149&lt;=19,"L","A"))),
     IF(OR(V149="ALI",V149="AIE"),IF(Z149&gt;=6,IF(X149&gt;=20,"H","A"),IF(Z149&gt;=2,IF(X149&gt;=51,"H",IF(X149&lt;=19,"L","A")),IF(X149&lt;=50,"L","A"))))))),
IF('Dados da OS'!$D$8=Parâmetros!$B$6,"Indicativa",
IF('Dados da OS'!$D$8=Parâmetros!$B$5,"PFS","")))</f>
        <v/>
      </c>
      <c r="AF149" s="57">
        <f>IFERROR(VLOOKUP(W149,'Fatores de Impacto e INMs'!$A$3:$D$32,3,0),1)</f>
        <v>1</v>
      </c>
      <c r="AG149" s="57">
        <f>IFERROR(VLOOKUP(W149,'Fatores de Impacto e INMs'!$A$3:$E$32,5,0),1)</f>
        <v>1</v>
      </c>
      <c r="AH149" s="82" t="str">
        <f xml:space="preserve">
IF(OR('Dados da OS'!$D$8="Selecione o tipo da contagem",ISBLANK('Dados da OS'!$D$8),V149="INM",V149="N/A",ISBLANK(V149),ISBLANK(W149),AG149="VF"),"-",
   IF('Dados da OS'!$D$8=Parâmetros!$B$3,
      IF(OR(ISBLANK(X149),ISBLANK(Z149)),"-",
         IF(AE149="L","Baixa",IF(AE149="A","Média",IF(AE149="H","Alta","-")))),
      IF('Dados da OS'!$D$8=Parâmetros!$B$4,
         IF(OR(V149="ALI",V149="AIE"),"Baixa",IF(OR(V149="EE",V149="SE",V149="CE"),"Média","-")),
         IF(OR('Dados da OS'!$D$8=Parâmetros!$B$5,'Dados da OS'!$D$8=Parâmetros!$B$6),"-"))))</f>
        <v>-</v>
      </c>
      <c r="AI149" s="83" t="str">
        <f xml:space="preserve">
IF(OR(ISBLANK(V149),ISBLANK(U149),ISBLANK(W149),V149="N/A",ISBLANK('Dados da OS'!$D$8)),"",
   IF(OR('Dados da OS'!$D$8=Parâmetros!$B$3,'Dados da OS'!$D$8=Parâmetros!$B$4),
      IF(OR(AND(V149="INM",AG149&lt;&gt;"VF"),AND(AG149="VF",V149&lt;&gt;"INM")),"",
        IF(AND(V149="INM",AG149="VF"),IF(ISBLANK(AB149),"",AF149*AB149),
        IF('Dados da OS'!$D$8=Parâmetros!$B$4,
           IF(OR(V149="CE",V149="EE"),4,IF(V149="SE",5,IF(V149="ALI",7,IF(V149="AIE",5,"")))),
        IF('Dados da OS'!$D$8=Parâmetros!$B$3,
           IF(OR(ISBLANK(X149),ISBLANK(Z149)),"",
              IF(V149="ALI",IF(AE149="L",7,IF(AE149="A",10,15)),
                 IF(V149="AIE",IF(AE149="L",5,IF(AE149="A",7,10)),
                    IF(V149="SE",IF(AE149="L",4,IF(AE149="A",5,7)),
                       IF(OR(V149="EE",V149="CE"),IF(AE149="L",3,IF(AE149="A",4,6)),""))))))))),
   IF('Dados da OS'!$D$8=Parâmetros!$B$5,
      IF(OR(AND(V149="INM",AG149&lt;&gt;"VF"),AND(AG149="VF",V149&lt;&gt;"INM")),"",
         IF(V149="INM",IF(AG149="VF",AF149*AB149,""),
            IF(V149="PE",4.6,
            IF(V149="AL",7,"")))),
   IF('Dados da OS'!$D$8=Parâmetros!$B$6,
      IF(V149="ALI",35,IF(V149="AIE",15,"")),""))
    )
)</f>
        <v/>
      </c>
      <c r="AJ149" s="82" t="str">
        <f t="shared" si="22"/>
        <v/>
      </c>
      <c r="AK149" s="84"/>
      <c r="AL149" s="85" t="s">
        <v>21</v>
      </c>
      <c r="AM149" s="86"/>
      <c r="AN149" s="85"/>
      <c r="AO149" s="87"/>
      <c r="AP149" s="85"/>
      <c r="AQ149" s="86"/>
      <c r="AR149" s="85"/>
    </row>
    <row r="150" spans="1:44" ht="15.75" customHeight="1">
      <c r="A150" s="54"/>
      <c r="B150" s="100"/>
      <c r="C150" s="55"/>
      <c r="D150" s="55"/>
      <c r="E150" s="56"/>
      <c r="F150" s="55"/>
      <c r="G150" s="56"/>
      <c r="H150" s="55"/>
      <c r="I150" s="64"/>
      <c r="J150" s="57" t="str">
        <f t="shared" si="17"/>
        <v/>
      </c>
      <c r="K150" s="57" t="str">
        <f t="shared" si="18"/>
        <v/>
      </c>
      <c r="L150" s="57" t="str">
        <f xml:space="preserve">
IF(OR('Dados da OS'!$D$8=Parâmetros!$B$3,'Dados da OS'!$D$8=Parâmetros!$B$4),
  IF(OR(ISBLANK(D150),ISBLANK(F150)),
     IF(OR(B150="ALI",B150="AIE"),"L",IF(ISBLANK(B150),"","A")),
     IF(B150="EE",IF(F150&gt;=3,IF(D150&gt;=5,"H","A"),
     IF(F150&gt;=2,IF(D150&gt;=16,"H",IF(D150&lt;=4,"L","A")),IF(D150&lt;=15,"L","A"))),
     IF(OR(B150="SE",B150="CE"),IF(F150&gt;=4,IF(D150&gt;=6,"H","A"),IF(F150&gt;=2,IF(D150&gt;=20,"H",IF(D150&lt;=5,"L","A")),IF(D150&lt;=19,"L","A"))),
     IF(OR(B150="ALI",B150="AIE"),IF(F150&gt;=6,IF(D150&gt;=20,"H","A"),IF(F150&gt;=2,IF(D150&gt;=51,"H",IF(D150&lt;=19,"L","A")),IF(D150&lt;=50,"L","A"))))))),
IF('Dados da OS'!$D$8=Parâmetros!$B$6,"Indicativa",
IF('Dados da OS'!$D$8=Parâmetros!$B$5,"PFS","")))</f>
        <v/>
      </c>
      <c r="M150" s="57">
        <f>IFERROR(VLOOKUP(C150,'Fatores de Impacto e INMs'!$A$3:$D$32,3,0),1)</f>
        <v>1</v>
      </c>
      <c r="N150" s="57">
        <f>IFERROR(VLOOKUP(C150,'Fatores de Impacto e INMs'!$A$3:$E$32,5,0),1)</f>
        <v>1</v>
      </c>
      <c r="O150" s="63" t="str">
        <f xml:space="preserve">
IF(OR('Dados da OS'!$D$8="Selecione o tipo da contagem",ISBLANK('Dados da OS'!$D$8),B150="INM",B150="N/A",ISBLANK(B150),ISBLANK(C150),N150="VF"),"-",
   IF('Dados da OS'!$D$8=Parâmetros!$B$3,
      IF(OR(ISBLANK(D150),ISBLANK(F150)),"-",
         IF(L150="L","Baixa",IF(L150="A","Média",IF(L150="H","Alta","-")))),
      IF('Dados da OS'!$D$8=Parâmetros!$B$4,
         IF(OR(B150="ALI",B150="AIE"),"Baixa",IF(OR(B150="EE",B150="SE",B150="CE"),"Média","-")),
         IF(OR('Dados da OS'!$D$8=Parâmetros!$B$5,'Dados da OS'!$D$8=Parâmetros!$B$6),"-"))))</f>
        <v>-</v>
      </c>
      <c r="P150" s="59" t="str">
        <f xml:space="preserve">
IF(OR(ISBLANK(B150),ISBLANK(C150),B150="N/A",ISBLANK('Dados da OS'!$D$8)),"",
   IF(OR('Dados da OS'!$D$8=Parâmetros!$B$3,'Dados da OS'!$D$8=Parâmetros!$B$4),
      IF(OR(AND(B150="INM",N150&lt;&gt;"VF"),AND(N150="VF",B150&lt;&gt;"INM")),"",
        IF(AND(B150="INM",N150="VF"),IF(ISBLANK(H150),"",M150*H150),
        IF('Dados da OS'!$D$8=Parâmetros!$B$4,
           IF(OR(B150="CE",B150="EE"),4,IF(B150="SE",5,IF(B150="ALI",7,IF(B150="AIE",5,"")))),
        IF('Dados da OS'!$D$8=Parâmetros!$B$3,
           IF(OR(ISBLANK(D150),ISBLANK(F150)),"",
              IF(B150="ALI",IF(L150="L",7,IF(L150="A",10,15)),
                 IF(B150="AIE",IF(L150="L",5,IF(L150="A",7,10)),
                    IF(B150="SE",IF(L150="L",4,IF(L150="A",5,7)),
                       IF(OR(B150="EE",B150="CE"),IF(L150="L",3,IF(L150="A",4,6)),""))))))))),
   IF('Dados da OS'!$D$8=Parâmetros!$B$5,
      IF(OR(AND(B150="INM",N150&lt;&gt;"VF"),AND(N150="VF",B150&lt;&gt;"INM")),"",
         IF(B150="INM",IF(N150="VF",M150*H150,""),
            IF(B150="PE",4.6,
            IF(B150="AL",7,"")))),
   IF('Dados da OS'!$D$8=Parâmetros!$B$6,
      IF(B150="ALI",35,IF(B150="AIE",15,"")),""))
    )
)</f>
        <v/>
      </c>
      <c r="Q150" s="60" t="str">
        <f t="shared" si="19"/>
        <v/>
      </c>
      <c r="R150" s="61"/>
      <c r="S150" s="62"/>
      <c r="T150" s="80" t="s">
        <v>21</v>
      </c>
      <c r="U150" s="81"/>
      <c r="V150" s="99"/>
      <c r="W150" s="55"/>
      <c r="X150" s="55"/>
      <c r="Y150" s="56"/>
      <c r="Z150" s="55"/>
      <c r="AA150" s="56"/>
      <c r="AB150" s="55"/>
      <c r="AC150" s="57" t="str">
        <f t="shared" si="20"/>
        <v/>
      </c>
      <c r="AD150" s="57" t="str">
        <f t="shared" si="21"/>
        <v/>
      </c>
      <c r="AE150" s="57" t="str">
        <f xml:space="preserve">
IF(OR('Dados da OS'!$D$8=Parâmetros!$B$3,'Dados da OS'!$D$8=Parâmetros!$B$4),
  IF(OR(ISBLANK(X150),ISBLANK(Z150)),
     IF(OR(V150="ALI",V150="AIE"),"L",IF(ISBLANK(V150),"","A")),
     IF(V150="EE",IF(Z150&gt;=3,IF(X150&gt;=5,"H","A"),
     IF(Z150&gt;=2,IF(X150&gt;=16,"H",IF(X150&lt;=4,"L","A")),IF(X150&lt;=15,"L","A"))),
     IF(OR(V150="SE",V150="CE"),IF(Z150&gt;=4,IF(X150&gt;=6,"H","A"),IF(Z150&gt;=2,IF(X150&gt;=20,"H",IF(X150&lt;=5,"L","A")),IF(X150&lt;=19,"L","A"))),
     IF(OR(V150="ALI",V150="AIE"),IF(Z150&gt;=6,IF(X150&gt;=20,"H","A"),IF(Z150&gt;=2,IF(X150&gt;=51,"H",IF(X150&lt;=19,"L","A")),IF(X150&lt;=50,"L","A"))))))),
IF('Dados da OS'!$D$8=Parâmetros!$B$6,"Indicativa",
IF('Dados da OS'!$D$8=Parâmetros!$B$5,"PFS","")))</f>
        <v/>
      </c>
      <c r="AF150" s="57">
        <f>IFERROR(VLOOKUP(W150,'Fatores de Impacto e INMs'!$A$3:$D$32,3,0),1)</f>
        <v>1</v>
      </c>
      <c r="AG150" s="57">
        <f>IFERROR(VLOOKUP(W150,'Fatores de Impacto e INMs'!$A$3:$E$32,5,0),1)</f>
        <v>1</v>
      </c>
      <c r="AH150" s="82" t="str">
        <f xml:space="preserve">
IF(OR('Dados da OS'!$D$8="Selecione o tipo da contagem",ISBLANK('Dados da OS'!$D$8),V150="INM",V150="N/A",ISBLANK(V150),ISBLANK(W150),AG150="VF"),"-",
   IF('Dados da OS'!$D$8=Parâmetros!$B$3,
      IF(OR(ISBLANK(X150),ISBLANK(Z150)),"-",
         IF(AE150="L","Baixa",IF(AE150="A","Média",IF(AE150="H","Alta","-")))),
      IF('Dados da OS'!$D$8=Parâmetros!$B$4,
         IF(OR(V150="ALI",V150="AIE"),"Baixa",IF(OR(V150="EE",V150="SE",V150="CE"),"Média","-")),
         IF(OR('Dados da OS'!$D$8=Parâmetros!$B$5,'Dados da OS'!$D$8=Parâmetros!$B$6),"-"))))</f>
        <v>-</v>
      </c>
      <c r="AI150" s="83" t="str">
        <f xml:space="preserve">
IF(OR(ISBLANK(V150),ISBLANK(U150),ISBLANK(W150),V150="N/A",ISBLANK('Dados da OS'!$D$8)),"",
   IF(OR('Dados da OS'!$D$8=Parâmetros!$B$3,'Dados da OS'!$D$8=Parâmetros!$B$4),
      IF(OR(AND(V150="INM",AG150&lt;&gt;"VF"),AND(AG150="VF",V150&lt;&gt;"INM")),"",
        IF(AND(V150="INM",AG150="VF"),IF(ISBLANK(AB150),"",AF150*AB150),
        IF('Dados da OS'!$D$8=Parâmetros!$B$4,
           IF(OR(V150="CE",V150="EE"),4,IF(V150="SE",5,IF(V150="ALI",7,IF(V150="AIE",5,"")))),
        IF('Dados da OS'!$D$8=Parâmetros!$B$3,
           IF(OR(ISBLANK(X150),ISBLANK(Z150)),"",
              IF(V150="ALI",IF(AE150="L",7,IF(AE150="A",10,15)),
                 IF(V150="AIE",IF(AE150="L",5,IF(AE150="A",7,10)),
                    IF(V150="SE",IF(AE150="L",4,IF(AE150="A",5,7)),
                       IF(OR(V150="EE",V150="CE"),IF(AE150="L",3,IF(AE150="A",4,6)),""))))))))),
   IF('Dados da OS'!$D$8=Parâmetros!$B$5,
      IF(OR(AND(V150="INM",AG150&lt;&gt;"VF"),AND(AG150="VF",V150&lt;&gt;"INM")),"",
         IF(V150="INM",IF(AG150="VF",AF150*AB150,""),
            IF(V150="PE",4.6,
            IF(V150="AL",7,"")))),
   IF('Dados da OS'!$D$8=Parâmetros!$B$6,
      IF(V150="ALI",35,IF(V150="AIE",15,"")),""))
    )
)</f>
        <v/>
      </c>
      <c r="AJ150" s="82" t="str">
        <f t="shared" si="22"/>
        <v/>
      </c>
      <c r="AK150" s="84"/>
      <c r="AL150" s="85" t="s">
        <v>21</v>
      </c>
      <c r="AM150" s="86"/>
      <c r="AN150" s="85"/>
      <c r="AO150" s="87"/>
      <c r="AP150" s="85"/>
      <c r="AQ150" s="86"/>
      <c r="AR150" s="85"/>
    </row>
    <row r="151" spans="1:44" ht="15.75" customHeight="1">
      <c r="A151" s="54"/>
      <c r="B151" s="100"/>
      <c r="C151" s="55"/>
      <c r="D151" s="55"/>
      <c r="E151" s="56"/>
      <c r="F151" s="55"/>
      <c r="G151" s="56"/>
      <c r="H151" s="55"/>
      <c r="I151" s="64"/>
      <c r="J151" s="57" t="str">
        <f t="shared" si="17"/>
        <v/>
      </c>
      <c r="K151" s="57" t="str">
        <f t="shared" si="18"/>
        <v/>
      </c>
      <c r="L151" s="57" t="str">
        <f xml:space="preserve">
IF(OR('Dados da OS'!$D$8=Parâmetros!$B$3,'Dados da OS'!$D$8=Parâmetros!$B$4),
  IF(OR(ISBLANK(D151),ISBLANK(F151)),
     IF(OR(B151="ALI",B151="AIE"),"L",IF(ISBLANK(B151),"","A")),
     IF(B151="EE",IF(F151&gt;=3,IF(D151&gt;=5,"H","A"),
     IF(F151&gt;=2,IF(D151&gt;=16,"H",IF(D151&lt;=4,"L","A")),IF(D151&lt;=15,"L","A"))),
     IF(OR(B151="SE",B151="CE"),IF(F151&gt;=4,IF(D151&gt;=6,"H","A"),IF(F151&gt;=2,IF(D151&gt;=20,"H",IF(D151&lt;=5,"L","A")),IF(D151&lt;=19,"L","A"))),
     IF(OR(B151="ALI",B151="AIE"),IF(F151&gt;=6,IF(D151&gt;=20,"H","A"),IF(F151&gt;=2,IF(D151&gt;=51,"H",IF(D151&lt;=19,"L","A")),IF(D151&lt;=50,"L","A"))))))),
IF('Dados da OS'!$D$8=Parâmetros!$B$6,"Indicativa",
IF('Dados da OS'!$D$8=Parâmetros!$B$5,"PFS","")))</f>
        <v/>
      </c>
      <c r="M151" s="57">
        <f>IFERROR(VLOOKUP(C151,'Fatores de Impacto e INMs'!$A$3:$D$32,3,0),1)</f>
        <v>1</v>
      </c>
      <c r="N151" s="57">
        <f>IFERROR(VLOOKUP(C151,'Fatores de Impacto e INMs'!$A$3:$E$32,5,0),1)</f>
        <v>1</v>
      </c>
      <c r="O151" s="63" t="str">
        <f xml:space="preserve">
IF(OR('Dados da OS'!$D$8="Selecione o tipo da contagem",ISBLANK('Dados da OS'!$D$8),B151="INM",B151="N/A",ISBLANK(B151),ISBLANK(C151),N151="VF"),"-",
   IF('Dados da OS'!$D$8=Parâmetros!$B$3,
      IF(OR(ISBLANK(D151),ISBLANK(F151)),"-",
         IF(L151="L","Baixa",IF(L151="A","Média",IF(L151="H","Alta","-")))),
      IF('Dados da OS'!$D$8=Parâmetros!$B$4,
         IF(OR(B151="ALI",B151="AIE"),"Baixa",IF(OR(B151="EE",B151="SE",B151="CE"),"Média","-")),
         IF(OR('Dados da OS'!$D$8=Parâmetros!$B$5,'Dados da OS'!$D$8=Parâmetros!$B$6),"-"))))</f>
        <v>-</v>
      </c>
      <c r="P151" s="59" t="str">
        <f xml:space="preserve">
IF(OR(ISBLANK(B151),ISBLANK(C151),B151="N/A",ISBLANK('Dados da OS'!$D$8)),"",
   IF(OR('Dados da OS'!$D$8=Parâmetros!$B$3,'Dados da OS'!$D$8=Parâmetros!$B$4),
      IF(OR(AND(B151="INM",N151&lt;&gt;"VF"),AND(N151="VF",B151&lt;&gt;"INM")),"",
        IF(AND(B151="INM",N151="VF"),IF(ISBLANK(H151),"",M151*H151),
        IF('Dados da OS'!$D$8=Parâmetros!$B$4,
           IF(OR(B151="CE",B151="EE"),4,IF(B151="SE",5,IF(B151="ALI",7,IF(B151="AIE",5,"")))),
        IF('Dados da OS'!$D$8=Parâmetros!$B$3,
           IF(OR(ISBLANK(D151),ISBLANK(F151)),"",
              IF(B151="ALI",IF(L151="L",7,IF(L151="A",10,15)),
                 IF(B151="AIE",IF(L151="L",5,IF(L151="A",7,10)),
                    IF(B151="SE",IF(L151="L",4,IF(L151="A",5,7)),
                       IF(OR(B151="EE",B151="CE"),IF(L151="L",3,IF(L151="A",4,6)),""))))))))),
   IF('Dados da OS'!$D$8=Parâmetros!$B$5,
      IF(OR(AND(B151="INM",N151&lt;&gt;"VF"),AND(N151="VF",B151&lt;&gt;"INM")),"",
         IF(B151="INM",IF(N151="VF",M151*H151,""),
            IF(B151="PE",4.6,
            IF(B151="AL",7,"")))),
   IF('Dados da OS'!$D$8=Parâmetros!$B$6,
      IF(B151="ALI",35,IF(B151="AIE",15,"")),""))
    )
)</f>
        <v/>
      </c>
      <c r="Q151" s="60" t="str">
        <f t="shared" si="19"/>
        <v/>
      </c>
      <c r="R151" s="61"/>
      <c r="S151" s="62"/>
      <c r="T151" s="80" t="s">
        <v>21</v>
      </c>
      <c r="U151" s="81"/>
      <c r="V151" s="99"/>
      <c r="W151" s="55"/>
      <c r="X151" s="55"/>
      <c r="Y151" s="56"/>
      <c r="Z151" s="55"/>
      <c r="AA151" s="56"/>
      <c r="AB151" s="55"/>
      <c r="AC151" s="57" t="str">
        <f t="shared" si="20"/>
        <v/>
      </c>
      <c r="AD151" s="57" t="str">
        <f t="shared" si="21"/>
        <v/>
      </c>
      <c r="AE151" s="57" t="str">
        <f xml:space="preserve">
IF(OR('Dados da OS'!$D$8=Parâmetros!$B$3,'Dados da OS'!$D$8=Parâmetros!$B$4),
  IF(OR(ISBLANK(X151),ISBLANK(Z151)),
     IF(OR(V151="ALI",V151="AIE"),"L",IF(ISBLANK(V151),"","A")),
     IF(V151="EE",IF(Z151&gt;=3,IF(X151&gt;=5,"H","A"),
     IF(Z151&gt;=2,IF(X151&gt;=16,"H",IF(X151&lt;=4,"L","A")),IF(X151&lt;=15,"L","A"))),
     IF(OR(V151="SE",V151="CE"),IF(Z151&gt;=4,IF(X151&gt;=6,"H","A"),IF(Z151&gt;=2,IF(X151&gt;=20,"H",IF(X151&lt;=5,"L","A")),IF(X151&lt;=19,"L","A"))),
     IF(OR(V151="ALI",V151="AIE"),IF(Z151&gt;=6,IF(X151&gt;=20,"H","A"),IF(Z151&gt;=2,IF(X151&gt;=51,"H",IF(X151&lt;=19,"L","A")),IF(X151&lt;=50,"L","A"))))))),
IF('Dados da OS'!$D$8=Parâmetros!$B$6,"Indicativa",
IF('Dados da OS'!$D$8=Parâmetros!$B$5,"PFS","")))</f>
        <v/>
      </c>
      <c r="AF151" s="57">
        <f>IFERROR(VLOOKUP(W151,'Fatores de Impacto e INMs'!$A$3:$D$32,3,0),1)</f>
        <v>1</v>
      </c>
      <c r="AG151" s="57">
        <f>IFERROR(VLOOKUP(W151,'Fatores de Impacto e INMs'!$A$3:$E$32,5,0),1)</f>
        <v>1</v>
      </c>
      <c r="AH151" s="82" t="str">
        <f xml:space="preserve">
IF(OR('Dados da OS'!$D$8="Selecione o tipo da contagem",ISBLANK('Dados da OS'!$D$8),V151="INM",V151="N/A",ISBLANK(V151),ISBLANK(W151),AG151="VF"),"-",
   IF('Dados da OS'!$D$8=Parâmetros!$B$3,
      IF(OR(ISBLANK(X151),ISBLANK(Z151)),"-",
         IF(AE151="L","Baixa",IF(AE151="A","Média",IF(AE151="H","Alta","-")))),
      IF('Dados da OS'!$D$8=Parâmetros!$B$4,
         IF(OR(V151="ALI",V151="AIE"),"Baixa",IF(OR(V151="EE",V151="SE",V151="CE"),"Média","-")),
         IF(OR('Dados da OS'!$D$8=Parâmetros!$B$5,'Dados da OS'!$D$8=Parâmetros!$B$6),"-"))))</f>
        <v>-</v>
      </c>
      <c r="AI151" s="83" t="str">
        <f xml:space="preserve">
IF(OR(ISBLANK(V151),ISBLANK(U151),ISBLANK(W151),V151="N/A",ISBLANK('Dados da OS'!$D$8)),"",
   IF(OR('Dados da OS'!$D$8=Parâmetros!$B$3,'Dados da OS'!$D$8=Parâmetros!$B$4),
      IF(OR(AND(V151="INM",AG151&lt;&gt;"VF"),AND(AG151="VF",V151&lt;&gt;"INM")),"",
        IF(AND(V151="INM",AG151="VF"),IF(ISBLANK(AB151),"",AF151*AB151),
        IF('Dados da OS'!$D$8=Parâmetros!$B$4,
           IF(OR(V151="CE",V151="EE"),4,IF(V151="SE",5,IF(V151="ALI",7,IF(V151="AIE",5,"")))),
        IF('Dados da OS'!$D$8=Parâmetros!$B$3,
           IF(OR(ISBLANK(X151),ISBLANK(Z151)),"",
              IF(V151="ALI",IF(AE151="L",7,IF(AE151="A",10,15)),
                 IF(V151="AIE",IF(AE151="L",5,IF(AE151="A",7,10)),
                    IF(V151="SE",IF(AE151="L",4,IF(AE151="A",5,7)),
                       IF(OR(V151="EE",V151="CE"),IF(AE151="L",3,IF(AE151="A",4,6)),""))))))))),
   IF('Dados da OS'!$D$8=Parâmetros!$B$5,
      IF(OR(AND(V151="INM",AG151&lt;&gt;"VF"),AND(AG151="VF",V151&lt;&gt;"INM")),"",
         IF(V151="INM",IF(AG151="VF",AF151*AB151,""),
            IF(V151="PE",4.6,
            IF(V151="AL",7,"")))),
   IF('Dados da OS'!$D$8=Parâmetros!$B$6,
      IF(V151="ALI",35,IF(V151="AIE",15,"")),""))
    )
)</f>
        <v/>
      </c>
      <c r="AJ151" s="82" t="str">
        <f t="shared" si="22"/>
        <v/>
      </c>
      <c r="AK151" s="84"/>
      <c r="AL151" s="85" t="s">
        <v>21</v>
      </c>
      <c r="AM151" s="86"/>
      <c r="AN151" s="85"/>
      <c r="AO151" s="87"/>
      <c r="AP151" s="85"/>
      <c r="AQ151" s="86"/>
      <c r="AR151" s="85"/>
    </row>
    <row r="152" spans="1:44" ht="15.75" customHeight="1">
      <c r="A152" s="54"/>
      <c r="B152" s="100"/>
      <c r="C152" s="55"/>
      <c r="D152" s="55"/>
      <c r="E152" s="56"/>
      <c r="F152" s="55"/>
      <c r="G152" s="56"/>
      <c r="H152" s="55"/>
      <c r="I152" s="64"/>
      <c r="J152" s="57" t="str">
        <f t="shared" si="17"/>
        <v/>
      </c>
      <c r="K152" s="57" t="str">
        <f t="shared" si="18"/>
        <v/>
      </c>
      <c r="L152" s="57" t="str">
        <f xml:space="preserve">
IF(OR('Dados da OS'!$D$8=Parâmetros!$B$3,'Dados da OS'!$D$8=Parâmetros!$B$4),
  IF(OR(ISBLANK(D152),ISBLANK(F152)),
     IF(OR(B152="ALI",B152="AIE"),"L",IF(ISBLANK(B152),"","A")),
     IF(B152="EE",IF(F152&gt;=3,IF(D152&gt;=5,"H","A"),
     IF(F152&gt;=2,IF(D152&gt;=16,"H",IF(D152&lt;=4,"L","A")),IF(D152&lt;=15,"L","A"))),
     IF(OR(B152="SE",B152="CE"),IF(F152&gt;=4,IF(D152&gt;=6,"H","A"),IF(F152&gt;=2,IF(D152&gt;=20,"H",IF(D152&lt;=5,"L","A")),IF(D152&lt;=19,"L","A"))),
     IF(OR(B152="ALI",B152="AIE"),IF(F152&gt;=6,IF(D152&gt;=20,"H","A"),IF(F152&gt;=2,IF(D152&gt;=51,"H",IF(D152&lt;=19,"L","A")),IF(D152&lt;=50,"L","A"))))))),
IF('Dados da OS'!$D$8=Parâmetros!$B$6,"Indicativa",
IF('Dados da OS'!$D$8=Parâmetros!$B$5,"PFS","")))</f>
        <v/>
      </c>
      <c r="M152" s="57">
        <f>IFERROR(VLOOKUP(C152,'Fatores de Impacto e INMs'!$A$3:$D$32,3,0),1)</f>
        <v>1</v>
      </c>
      <c r="N152" s="57">
        <f>IFERROR(VLOOKUP(C152,'Fatores de Impacto e INMs'!$A$3:$E$32,5,0),1)</f>
        <v>1</v>
      </c>
      <c r="O152" s="63" t="str">
        <f xml:space="preserve">
IF(OR('Dados da OS'!$D$8="Selecione o tipo da contagem",ISBLANK('Dados da OS'!$D$8),B152="INM",B152="N/A",ISBLANK(B152),ISBLANK(C152),N152="VF"),"-",
   IF('Dados da OS'!$D$8=Parâmetros!$B$3,
      IF(OR(ISBLANK(D152),ISBLANK(F152)),"-",
         IF(L152="L","Baixa",IF(L152="A","Média",IF(L152="H","Alta","-")))),
      IF('Dados da OS'!$D$8=Parâmetros!$B$4,
         IF(OR(B152="ALI",B152="AIE"),"Baixa",IF(OR(B152="EE",B152="SE",B152="CE"),"Média","-")),
         IF(OR('Dados da OS'!$D$8=Parâmetros!$B$5,'Dados da OS'!$D$8=Parâmetros!$B$6),"-"))))</f>
        <v>-</v>
      </c>
      <c r="P152" s="59" t="str">
        <f xml:space="preserve">
IF(OR(ISBLANK(B152),ISBLANK(C152),B152="N/A",ISBLANK('Dados da OS'!$D$8)),"",
   IF(OR('Dados da OS'!$D$8=Parâmetros!$B$3,'Dados da OS'!$D$8=Parâmetros!$B$4),
      IF(OR(AND(B152="INM",N152&lt;&gt;"VF"),AND(N152="VF",B152&lt;&gt;"INM")),"",
        IF(AND(B152="INM",N152="VF"),IF(ISBLANK(H152),"",M152*H152),
        IF('Dados da OS'!$D$8=Parâmetros!$B$4,
           IF(OR(B152="CE",B152="EE"),4,IF(B152="SE",5,IF(B152="ALI",7,IF(B152="AIE",5,"")))),
        IF('Dados da OS'!$D$8=Parâmetros!$B$3,
           IF(OR(ISBLANK(D152),ISBLANK(F152)),"",
              IF(B152="ALI",IF(L152="L",7,IF(L152="A",10,15)),
                 IF(B152="AIE",IF(L152="L",5,IF(L152="A",7,10)),
                    IF(B152="SE",IF(L152="L",4,IF(L152="A",5,7)),
                       IF(OR(B152="EE",B152="CE"),IF(L152="L",3,IF(L152="A",4,6)),""))))))))),
   IF('Dados da OS'!$D$8=Parâmetros!$B$5,
      IF(OR(AND(B152="INM",N152&lt;&gt;"VF"),AND(N152="VF",B152&lt;&gt;"INM")),"",
         IF(B152="INM",IF(N152="VF",M152*H152,""),
            IF(B152="PE",4.6,
            IF(B152="AL",7,"")))),
   IF('Dados da OS'!$D$8=Parâmetros!$B$6,
      IF(B152="ALI",35,IF(B152="AIE",15,"")),""))
    )
)</f>
        <v/>
      </c>
      <c r="Q152" s="60" t="str">
        <f t="shared" si="19"/>
        <v/>
      </c>
      <c r="R152" s="61"/>
      <c r="S152" s="62"/>
      <c r="T152" s="80" t="s">
        <v>21</v>
      </c>
      <c r="U152" s="81"/>
      <c r="V152" s="99"/>
      <c r="W152" s="55"/>
      <c r="X152" s="55"/>
      <c r="Y152" s="56"/>
      <c r="Z152" s="55"/>
      <c r="AA152" s="56"/>
      <c r="AB152" s="55"/>
      <c r="AC152" s="57" t="str">
        <f t="shared" si="20"/>
        <v/>
      </c>
      <c r="AD152" s="57" t="str">
        <f t="shared" si="21"/>
        <v/>
      </c>
      <c r="AE152" s="57" t="str">
        <f xml:space="preserve">
IF(OR('Dados da OS'!$D$8=Parâmetros!$B$3,'Dados da OS'!$D$8=Parâmetros!$B$4),
  IF(OR(ISBLANK(X152),ISBLANK(Z152)),
     IF(OR(V152="ALI",V152="AIE"),"L",IF(ISBLANK(V152),"","A")),
     IF(V152="EE",IF(Z152&gt;=3,IF(X152&gt;=5,"H","A"),
     IF(Z152&gt;=2,IF(X152&gt;=16,"H",IF(X152&lt;=4,"L","A")),IF(X152&lt;=15,"L","A"))),
     IF(OR(V152="SE",V152="CE"),IF(Z152&gt;=4,IF(X152&gt;=6,"H","A"),IF(Z152&gt;=2,IF(X152&gt;=20,"H",IF(X152&lt;=5,"L","A")),IF(X152&lt;=19,"L","A"))),
     IF(OR(V152="ALI",V152="AIE"),IF(Z152&gt;=6,IF(X152&gt;=20,"H","A"),IF(Z152&gt;=2,IF(X152&gt;=51,"H",IF(X152&lt;=19,"L","A")),IF(X152&lt;=50,"L","A"))))))),
IF('Dados da OS'!$D$8=Parâmetros!$B$6,"Indicativa",
IF('Dados da OS'!$D$8=Parâmetros!$B$5,"PFS","")))</f>
        <v/>
      </c>
      <c r="AF152" s="57">
        <f>IFERROR(VLOOKUP(W152,'Fatores de Impacto e INMs'!$A$3:$D$32,3,0),1)</f>
        <v>1</v>
      </c>
      <c r="AG152" s="57">
        <f>IFERROR(VLOOKUP(W152,'Fatores de Impacto e INMs'!$A$3:$E$32,5,0),1)</f>
        <v>1</v>
      </c>
      <c r="AH152" s="82" t="str">
        <f xml:space="preserve">
IF(OR('Dados da OS'!$D$8="Selecione o tipo da contagem",ISBLANK('Dados da OS'!$D$8),V152="INM",V152="N/A",ISBLANK(V152),ISBLANK(W152),AG152="VF"),"-",
   IF('Dados da OS'!$D$8=Parâmetros!$B$3,
      IF(OR(ISBLANK(X152),ISBLANK(Z152)),"-",
         IF(AE152="L","Baixa",IF(AE152="A","Média",IF(AE152="H","Alta","-")))),
      IF('Dados da OS'!$D$8=Parâmetros!$B$4,
         IF(OR(V152="ALI",V152="AIE"),"Baixa",IF(OR(V152="EE",V152="SE",V152="CE"),"Média","-")),
         IF(OR('Dados da OS'!$D$8=Parâmetros!$B$5,'Dados da OS'!$D$8=Parâmetros!$B$6),"-"))))</f>
        <v>-</v>
      </c>
      <c r="AI152" s="83" t="str">
        <f xml:space="preserve">
IF(OR(ISBLANK(V152),ISBLANK(U152),ISBLANK(W152),V152="N/A",ISBLANK('Dados da OS'!$D$8)),"",
   IF(OR('Dados da OS'!$D$8=Parâmetros!$B$3,'Dados da OS'!$D$8=Parâmetros!$B$4),
      IF(OR(AND(V152="INM",AG152&lt;&gt;"VF"),AND(AG152="VF",V152&lt;&gt;"INM")),"",
        IF(AND(V152="INM",AG152="VF"),IF(ISBLANK(AB152),"",AF152*AB152),
        IF('Dados da OS'!$D$8=Parâmetros!$B$4,
           IF(OR(V152="CE",V152="EE"),4,IF(V152="SE",5,IF(V152="ALI",7,IF(V152="AIE",5,"")))),
        IF('Dados da OS'!$D$8=Parâmetros!$B$3,
           IF(OR(ISBLANK(X152),ISBLANK(Z152)),"",
              IF(V152="ALI",IF(AE152="L",7,IF(AE152="A",10,15)),
                 IF(V152="AIE",IF(AE152="L",5,IF(AE152="A",7,10)),
                    IF(V152="SE",IF(AE152="L",4,IF(AE152="A",5,7)),
                       IF(OR(V152="EE",V152="CE"),IF(AE152="L",3,IF(AE152="A",4,6)),""))))))))),
   IF('Dados da OS'!$D$8=Parâmetros!$B$5,
      IF(OR(AND(V152="INM",AG152&lt;&gt;"VF"),AND(AG152="VF",V152&lt;&gt;"INM")),"",
         IF(V152="INM",IF(AG152="VF",AF152*AB152,""),
            IF(V152="PE",4.6,
            IF(V152="AL",7,"")))),
   IF('Dados da OS'!$D$8=Parâmetros!$B$6,
      IF(V152="ALI",35,IF(V152="AIE",15,"")),""))
    )
)</f>
        <v/>
      </c>
      <c r="AJ152" s="82" t="str">
        <f t="shared" si="22"/>
        <v/>
      </c>
      <c r="AK152" s="84"/>
      <c r="AL152" s="85" t="s">
        <v>21</v>
      </c>
      <c r="AM152" s="86"/>
      <c r="AN152" s="85"/>
      <c r="AO152" s="87"/>
      <c r="AP152" s="85"/>
      <c r="AQ152" s="86"/>
      <c r="AR152" s="85"/>
    </row>
    <row r="153" spans="1:44" ht="15.75" customHeight="1">
      <c r="A153" s="54"/>
      <c r="B153" s="100"/>
      <c r="C153" s="55"/>
      <c r="D153" s="55"/>
      <c r="E153" s="56"/>
      <c r="F153" s="55"/>
      <c r="G153" s="56"/>
      <c r="H153" s="55"/>
      <c r="I153" s="64"/>
      <c r="J153" s="57" t="str">
        <f t="shared" si="17"/>
        <v/>
      </c>
      <c r="K153" s="57" t="str">
        <f t="shared" si="18"/>
        <v/>
      </c>
      <c r="L153" s="57" t="str">
        <f xml:space="preserve">
IF(OR('Dados da OS'!$D$8=Parâmetros!$B$3,'Dados da OS'!$D$8=Parâmetros!$B$4),
  IF(OR(ISBLANK(D153),ISBLANK(F153)),
     IF(OR(B153="ALI",B153="AIE"),"L",IF(ISBLANK(B153),"","A")),
     IF(B153="EE",IF(F153&gt;=3,IF(D153&gt;=5,"H","A"),
     IF(F153&gt;=2,IF(D153&gt;=16,"H",IF(D153&lt;=4,"L","A")),IF(D153&lt;=15,"L","A"))),
     IF(OR(B153="SE",B153="CE"),IF(F153&gt;=4,IF(D153&gt;=6,"H","A"),IF(F153&gt;=2,IF(D153&gt;=20,"H",IF(D153&lt;=5,"L","A")),IF(D153&lt;=19,"L","A"))),
     IF(OR(B153="ALI",B153="AIE"),IF(F153&gt;=6,IF(D153&gt;=20,"H","A"),IF(F153&gt;=2,IF(D153&gt;=51,"H",IF(D153&lt;=19,"L","A")),IF(D153&lt;=50,"L","A"))))))),
IF('Dados da OS'!$D$8=Parâmetros!$B$6,"Indicativa",
IF('Dados da OS'!$D$8=Parâmetros!$B$5,"PFS","")))</f>
        <v/>
      </c>
      <c r="M153" s="57">
        <f>IFERROR(VLOOKUP(C153,'Fatores de Impacto e INMs'!$A$3:$D$32,3,0),1)</f>
        <v>1</v>
      </c>
      <c r="N153" s="57">
        <f>IFERROR(VLOOKUP(C153,'Fatores de Impacto e INMs'!$A$3:$E$32,5,0),1)</f>
        <v>1</v>
      </c>
      <c r="O153" s="63" t="str">
        <f xml:space="preserve">
IF(OR('Dados da OS'!$D$8="Selecione o tipo da contagem",ISBLANK('Dados da OS'!$D$8),B153="INM",B153="N/A",ISBLANK(B153),ISBLANK(C153),N153="VF"),"-",
   IF('Dados da OS'!$D$8=Parâmetros!$B$3,
      IF(OR(ISBLANK(D153),ISBLANK(F153)),"-",
         IF(L153="L","Baixa",IF(L153="A","Média",IF(L153="H","Alta","-")))),
      IF('Dados da OS'!$D$8=Parâmetros!$B$4,
         IF(OR(B153="ALI",B153="AIE"),"Baixa",IF(OR(B153="EE",B153="SE",B153="CE"),"Média","-")),
         IF(OR('Dados da OS'!$D$8=Parâmetros!$B$5,'Dados da OS'!$D$8=Parâmetros!$B$6),"-"))))</f>
        <v>-</v>
      </c>
      <c r="P153" s="59" t="str">
        <f xml:space="preserve">
IF(OR(ISBLANK(B153),ISBLANK(C153),B153="N/A",ISBLANK('Dados da OS'!$D$8)),"",
   IF(OR('Dados da OS'!$D$8=Parâmetros!$B$3,'Dados da OS'!$D$8=Parâmetros!$B$4),
      IF(OR(AND(B153="INM",N153&lt;&gt;"VF"),AND(N153="VF",B153&lt;&gt;"INM")),"",
        IF(AND(B153="INM",N153="VF"),IF(ISBLANK(H153),"",M153*H153),
        IF('Dados da OS'!$D$8=Parâmetros!$B$4,
           IF(OR(B153="CE",B153="EE"),4,IF(B153="SE",5,IF(B153="ALI",7,IF(B153="AIE",5,"")))),
        IF('Dados da OS'!$D$8=Parâmetros!$B$3,
           IF(OR(ISBLANK(D153),ISBLANK(F153)),"",
              IF(B153="ALI",IF(L153="L",7,IF(L153="A",10,15)),
                 IF(B153="AIE",IF(L153="L",5,IF(L153="A",7,10)),
                    IF(B153="SE",IF(L153="L",4,IF(L153="A",5,7)),
                       IF(OR(B153="EE",B153="CE"),IF(L153="L",3,IF(L153="A",4,6)),""))))))))),
   IF('Dados da OS'!$D$8=Parâmetros!$B$5,
      IF(OR(AND(B153="INM",N153&lt;&gt;"VF"),AND(N153="VF",B153&lt;&gt;"INM")),"",
         IF(B153="INM",IF(N153="VF",M153*H153,""),
            IF(B153="PE",4.6,
            IF(B153="AL",7,"")))),
   IF('Dados da OS'!$D$8=Parâmetros!$B$6,
      IF(B153="ALI",35,IF(B153="AIE",15,"")),""))
    )
)</f>
        <v/>
      </c>
      <c r="Q153" s="60" t="str">
        <f t="shared" si="19"/>
        <v/>
      </c>
      <c r="R153" s="61"/>
      <c r="S153" s="62"/>
      <c r="T153" s="80" t="s">
        <v>21</v>
      </c>
      <c r="U153" s="81"/>
      <c r="V153" s="99"/>
      <c r="W153" s="55"/>
      <c r="X153" s="55"/>
      <c r="Y153" s="56"/>
      <c r="Z153" s="55"/>
      <c r="AA153" s="56"/>
      <c r="AB153" s="55"/>
      <c r="AC153" s="57" t="str">
        <f t="shared" si="20"/>
        <v/>
      </c>
      <c r="AD153" s="57" t="str">
        <f t="shared" si="21"/>
        <v/>
      </c>
      <c r="AE153" s="57" t="str">
        <f xml:space="preserve">
IF(OR('Dados da OS'!$D$8=Parâmetros!$B$3,'Dados da OS'!$D$8=Parâmetros!$B$4),
  IF(OR(ISBLANK(X153),ISBLANK(Z153)),
     IF(OR(V153="ALI",V153="AIE"),"L",IF(ISBLANK(V153),"","A")),
     IF(V153="EE",IF(Z153&gt;=3,IF(X153&gt;=5,"H","A"),
     IF(Z153&gt;=2,IF(X153&gt;=16,"H",IF(X153&lt;=4,"L","A")),IF(X153&lt;=15,"L","A"))),
     IF(OR(V153="SE",V153="CE"),IF(Z153&gt;=4,IF(X153&gt;=6,"H","A"),IF(Z153&gt;=2,IF(X153&gt;=20,"H",IF(X153&lt;=5,"L","A")),IF(X153&lt;=19,"L","A"))),
     IF(OR(V153="ALI",V153="AIE"),IF(Z153&gt;=6,IF(X153&gt;=20,"H","A"),IF(Z153&gt;=2,IF(X153&gt;=51,"H",IF(X153&lt;=19,"L","A")),IF(X153&lt;=50,"L","A"))))))),
IF('Dados da OS'!$D$8=Parâmetros!$B$6,"Indicativa",
IF('Dados da OS'!$D$8=Parâmetros!$B$5,"PFS","")))</f>
        <v/>
      </c>
      <c r="AF153" s="57">
        <f>IFERROR(VLOOKUP(W153,'Fatores de Impacto e INMs'!$A$3:$D$32,3,0),1)</f>
        <v>1</v>
      </c>
      <c r="AG153" s="57">
        <f>IFERROR(VLOOKUP(W153,'Fatores de Impacto e INMs'!$A$3:$E$32,5,0),1)</f>
        <v>1</v>
      </c>
      <c r="AH153" s="82" t="str">
        <f xml:space="preserve">
IF(OR('Dados da OS'!$D$8="Selecione o tipo da contagem",ISBLANK('Dados da OS'!$D$8),V153="INM",V153="N/A",ISBLANK(V153),ISBLANK(W153),AG153="VF"),"-",
   IF('Dados da OS'!$D$8=Parâmetros!$B$3,
      IF(OR(ISBLANK(X153),ISBLANK(Z153)),"-",
         IF(AE153="L","Baixa",IF(AE153="A","Média",IF(AE153="H","Alta","-")))),
      IF('Dados da OS'!$D$8=Parâmetros!$B$4,
         IF(OR(V153="ALI",V153="AIE"),"Baixa",IF(OR(V153="EE",V153="SE",V153="CE"),"Média","-")),
         IF(OR('Dados da OS'!$D$8=Parâmetros!$B$5,'Dados da OS'!$D$8=Parâmetros!$B$6),"-"))))</f>
        <v>-</v>
      </c>
      <c r="AI153" s="83" t="str">
        <f xml:space="preserve">
IF(OR(ISBLANK(V153),ISBLANK(U153),ISBLANK(W153),V153="N/A",ISBLANK('Dados da OS'!$D$8)),"",
   IF(OR('Dados da OS'!$D$8=Parâmetros!$B$3,'Dados da OS'!$D$8=Parâmetros!$B$4),
      IF(OR(AND(V153="INM",AG153&lt;&gt;"VF"),AND(AG153="VF",V153&lt;&gt;"INM")),"",
        IF(AND(V153="INM",AG153="VF"),IF(ISBLANK(AB153),"",AF153*AB153),
        IF('Dados da OS'!$D$8=Parâmetros!$B$4,
           IF(OR(V153="CE",V153="EE"),4,IF(V153="SE",5,IF(V153="ALI",7,IF(V153="AIE",5,"")))),
        IF('Dados da OS'!$D$8=Parâmetros!$B$3,
           IF(OR(ISBLANK(X153),ISBLANK(Z153)),"",
              IF(V153="ALI",IF(AE153="L",7,IF(AE153="A",10,15)),
                 IF(V153="AIE",IF(AE153="L",5,IF(AE153="A",7,10)),
                    IF(V153="SE",IF(AE153="L",4,IF(AE153="A",5,7)),
                       IF(OR(V153="EE",V153="CE"),IF(AE153="L",3,IF(AE153="A",4,6)),""))))))))),
   IF('Dados da OS'!$D$8=Parâmetros!$B$5,
      IF(OR(AND(V153="INM",AG153&lt;&gt;"VF"),AND(AG153="VF",V153&lt;&gt;"INM")),"",
         IF(V153="INM",IF(AG153="VF",AF153*AB153,""),
            IF(V153="PE",4.6,
            IF(V153="AL",7,"")))),
   IF('Dados da OS'!$D$8=Parâmetros!$B$6,
      IF(V153="ALI",35,IF(V153="AIE",15,"")),""))
    )
)</f>
        <v/>
      </c>
      <c r="AJ153" s="82" t="str">
        <f t="shared" si="22"/>
        <v/>
      </c>
      <c r="AK153" s="84"/>
      <c r="AL153" s="85" t="s">
        <v>21</v>
      </c>
      <c r="AM153" s="86"/>
      <c r="AN153" s="85"/>
      <c r="AO153" s="87"/>
      <c r="AP153" s="85"/>
      <c r="AQ153" s="86"/>
      <c r="AR153" s="85"/>
    </row>
    <row r="154" spans="1:44" ht="15.75" customHeight="1">
      <c r="A154" s="54"/>
      <c r="B154" s="100"/>
      <c r="C154" s="55"/>
      <c r="D154" s="55"/>
      <c r="E154" s="56"/>
      <c r="F154" s="55"/>
      <c r="G154" s="56"/>
      <c r="H154" s="55"/>
      <c r="I154" s="64"/>
      <c r="J154" s="57" t="str">
        <f t="shared" si="17"/>
        <v/>
      </c>
      <c r="K154" s="57" t="str">
        <f t="shared" si="18"/>
        <v/>
      </c>
      <c r="L154" s="57" t="str">
        <f xml:space="preserve">
IF(OR('Dados da OS'!$D$8=Parâmetros!$B$3,'Dados da OS'!$D$8=Parâmetros!$B$4),
  IF(OR(ISBLANK(D154),ISBLANK(F154)),
     IF(OR(B154="ALI",B154="AIE"),"L",IF(ISBLANK(B154),"","A")),
     IF(B154="EE",IF(F154&gt;=3,IF(D154&gt;=5,"H","A"),
     IF(F154&gt;=2,IF(D154&gt;=16,"H",IF(D154&lt;=4,"L","A")),IF(D154&lt;=15,"L","A"))),
     IF(OR(B154="SE",B154="CE"),IF(F154&gt;=4,IF(D154&gt;=6,"H","A"),IF(F154&gt;=2,IF(D154&gt;=20,"H",IF(D154&lt;=5,"L","A")),IF(D154&lt;=19,"L","A"))),
     IF(OR(B154="ALI",B154="AIE"),IF(F154&gt;=6,IF(D154&gt;=20,"H","A"),IF(F154&gt;=2,IF(D154&gt;=51,"H",IF(D154&lt;=19,"L","A")),IF(D154&lt;=50,"L","A"))))))),
IF('Dados da OS'!$D$8=Parâmetros!$B$6,"Indicativa",
IF('Dados da OS'!$D$8=Parâmetros!$B$5,"PFS","")))</f>
        <v/>
      </c>
      <c r="M154" s="57">
        <f>IFERROR(VLOOKUP(C154,'Fatores de Impacto e INMs'!$A$3:$D$32,3,0),1)</f>
        <v>1</v>
      </c>
      <c r="N154" s="57">
        <f>IFERROR(VLOOKUP(C154,'Fatores de Impacto e INMs'!$A$3:$E$32,5,0),1)</f>
        <v>1</v>
      </c>
      <c r="O154" s="63" t="str">
        <f xml:space="preserve">
IF(OR('Dados da OS'!$D$8="Selecione o tipo da contagem",ISBLANK('Dados da OS'!$D$8),B154="INM",B154="N/A",ISBLANK(B154),ISBLANK(C154),N154="VF"),"-",
   IF('Dados da OS'!$D$8=Parâmetros!$B$3,
      IF(OR(ISBLANK(D154),ISBLANK(F154)),"-",
         IF(L154="L","Baixa",IF(L154="A","Média",IF(L154="H","Alta","-")))),
      IF('Dados da OS'!$D$8=Parâmetros!$B$4,
         IF(OR(B154="ALI",B154="AIE"),"Baixa",IF(OR(B154="EE",B154="SE",B154="CE"),"Média","-")),
         IF(OR('Dados da OS'!$D$8=Parâmetros!$B$5,'Dados da OS'!$D$8=Parâmetros!$B$6),"-"))))</f>
        <v>-</v>
      </c>
      <c r="P154" s="59" t="str">
        <f xml:space="preserve">
IF(OR(ISBLANK(B154),ISBLANK(C154),B154="N/A",ISBLANK('Dados da OS'!$D$8)),"",
   IF(OR('Dados da OS'!$D$8=Parâmetros!$B$3,'Dados da OS'!$D$8=Parâmetros!$B$4),
      IF(OR(AND(B154="INM",N154&lt;&gt;"VF"),AND(N154="VF",B154&lt;&gt;"INM")),"",
        IF(AND(B154="INM",N154="VF"),IF(ISBLANK(H154),"",M154*H154),
        IF('Dados da OS'!$D$8=Parâmetros!$B$4,
           IF(OR(B154="CE",B154="EE"),4,IF(B154="SE",5,IF(B154="ALI",7,IF(B154="AIE",5,"")))),
        IF('Dados da OS'!$D$8=Parâmetros!$B$3,
           IF(OR(ISBLANK(D154),ISBLANK(F154)),"",
              IF(B154="ALI",IF(L154="L",7,IF(L154="A",10,15)),
                 IF(B154="AIE",IF(L154="L",5,IF(L154="A",7,10)),
                    IF(B154="SE",IF(L154="L",4,IF(L154="A",5,7)),
                       IF(OR(B154="EE",B154="CE"),IF(L154="L",3,IF(L154="A",4,6)),""))))))))),
   IF('Dados da OS'!$D$8=Parâmetros!$B$5,
      IF(OR(AND(B154="INM",N154&lt;&gt;"VF"),AND(N154="VF",B154&lt;&gt;"INM")),"",
         IF(B154="INM",IF(N154="VF",M154*H154,""),
            IF(B154="PE",4.6,
            IF(B154="AL",7,"")))),
   IF('Dados da OS'!$D$8=Parâmetros!$B$6,
      IF(B154="ALI",35,IF(B154="AIE",15,"")),""))
    )
)</f>
        <v/>
      </c>
      <c r="Q154" s="60" t="str">
        <f t="shared" si="19"/>
        <v/>
      </c>
      <c r="R154" s="61"/>
      <c r="S154" s="62"/>
      <c r="T154" s="80" t="s">
        <v>21</v>
      </c>
      <c r="U154" s="81"/>
      <c r="V154" s="99"/>
      <c r="W154" s="55"/>
      <c r="X154" s="55"/>
      <c r="Y154" s="56"/>
      <c r="Z154" s="55"/>
      <c r="AA154" s="56"/>
      <c r="AB154" s="55"/>
      <c r="AC154" s="57" t="str">
        <f t="shared" si="20"/>
        <v/>
      </c>
      <c r="AD154" s="57" t="str">
        <f t="shared" si="21"/>
        <v/>
      </c>
      <c r="AE154" s="57" t="str">
        <f xml:space="preserve">
IF(OR('Dados da OS'!$D$8=Parâmetros!$B$3,'Dados da OS'!$D$8=Parâmetros!$B$4),
  IF(OR(ISBLANK(X154),ISBLANK(Z154)),
     IF(OR(V154="ALI",V154="AIE"),"L",IF(ISBLANK(V154),"","A")),
     IF(V154="EE",IF(Z154&gt;=3,IF(X154&gt;=5,"H","A"),
     IF(Z154&gt;=2,IF(X154&gt;=16,"H",IF(X154&lt;=4,"L","A")),IF(X154&lt;=15,"L","A"))),
     IF(OR(V154="SE",V154="CE"),IF(Z154&gt;=4,IF(X154&gt;=6,"H","A"),IF(Z154&gt;=2,IF(X154&gt;=20,"H",IF(X154&lt;=5,"L","A")),IF(X154&lt;=19,"L","A"))),
     IF(OR(V154="ALI",V154="AIE"),IF(Z154&gt;=6,IF(X154&gt;=20,"H","A"),IF(Z154&gt;=2,IF(X154&gt;=51,"H",IF(X154&lt;=19,"L","A")),IF(X154&lt;=50,"L","A"))))))),
IF('Dados da OS'!$D$8=Parâmetros!$B$6,"Indicativa",
IF('Dados da OS'!$D$8=Parâmetros!$B$5,"PFS","")))</f>
        <v/>
      </c>
      <c r="AF154" s="57">
        <f>IFERROR(VLOOKUP(W154,'Fatores de Impacto e INMs'!$A$3:$D$32,3,0),1)</f>
        <v>1</v>
      </c>
      <c r="AG154" s="57">
        <f>IFERROR(VLOOKUP(W154,'Fatores de Impacto e INMs'!$A$3:$E$32,5,0),1)</f>
        <v>1</v>
      </c>
      <c r="AH154" s="82" t="str">
        <f xml:space="preserve">
IF(OR('Dados da OS'!$D$8="Selecione o tipo da contagem",ISBLANK('Dados da OS'!$D$8),V154="INM",V154="N/A",ISBLANK(V154),ISBLANK(W154),AG154="VF"),"-",
   IF('Dados da OS'!$D$8=Parâmetros!$B$3,
      IF(OR(ISBLANK(X154),ISBLANK(Z154)),"-",
         IF(AE154="L","Baixa",IF(AE154="A","Média",IF(AE154="H","Alta","-")))),
      IF('Dados da OS'!$D$8=Parâmetros!$B$4,
         IF(OR(V154="ALI",V154="AIE"),"Baixa",IF(OR(V154="EE",V154="SE",V154="CE"),"Média","-")),
         IF(OR('Dados da OS'!$D$8=Parâmetros!$B$5,'Dados da OS'!$D$8=Parâmetros!$B$6),"-"))))</f>
        <v>-</v>
      </c>
      <c r="AI154" s="83" t="str">
        <f xml:space="preserve">
IF(OR(ISBLANK(V154),ISBLANK(U154),ISBLANK(W154),V154="N/A",ISBLANK('Dados da OS'!$D$8)),"",
   IF(OR('Dados da OS'!$D$8=Parâmetros!$B$3,'Dados da OS'!$D$8=Parâmetros!$B$4),
      IF(OR(AND(V154="INM",AG154&lt;&gt;"VF"),AND(AG154="VF",V154&lt;&gt;"INM")),"",
        IF(AND(V154="INM",AG154="VF"),IF(ISBLANK(AB154),"",AF154*AB154),
        IF('Dados da OS'!$D$8=Parâmetros!$B$4,
           IF(OR(V154="CE",V154="EE"),4,IF(V154="SE",5,IF(V154="ALI",7,IF(V154="AIE",5,"")))),
        IF('Dados da OS'!$D$8=Parâmetros!$B$3,
           IF(OR(ISBLANK(X154),ISBLANK(Z154)),"",
              IF(V154="ALI",IF(AE154="L",7,IF(AE154="A",10,15)),
                 IF(V154="AIE",IF(AE154="L",5,IF(AE154="A",7,10)),
                    IF(V154="SE",IF(AE154="L",4,IF(AE154="A",5,7)),
                       IF(OR(V154="EE",V154="CE"),IF(AE154="L",3,IF(AE154="A",4,6)),""))))))))),
   IF('Dados da OS'!$D$8=Parâmetros!$B$5,
      IF(OR(AND(V154="INM",AG154&lt;&gt;"VF"),AND(AG154="VF",V154&lt;&gt;"INM")),"",
         IF(V154="INM",IF(AG154="VF",AF154*AB154,""),
            IF(V154="PE",4.6,
            IF(V154="AL",7,"")))),
   IF('Dados da OS'!$D$8=Parâmetros!$B$6,
      IF(V154="ALI",35,IF(V154="AIE",15,"")),""))
    )
)</f>
        <v/>
      </c>
      <c r="AJ154" s="82" t="str">
        <f t="shared" si="22"/>
        <v/>
      </c>
      <c r="AK154" s="84"/>
      <c r="AL154" s="85" t="s">
        <v>21</v>
      </c>
      <c r="AM154" s="86"/>
      <c r="AN154" s="85"/>
      <c r="AO154" s="87"/>
      <c r="AP154" s="85"/>
      <c r="AQ154" s="86"/>
      <c r="AR154" s="85"/>
    </row>
    <row r="155" spans="1:44" ht="15.75" customHeight="1">
      <c r="A155" s="54"/>
      <c r="B155" s="100"/>
      <c r="C155" s="55"/>
      <c r="D155" s="55"/>
      <c r="E155" s="56"/>
      <c r="F155" s="55"/>
      <c r="G155" s="56"/>
      <c r="H155" s="55"/>
      <c r="I155" s="64"/>
      <c r="J155" s="57" t="str">
        <f t="shared" si="17"/>
        <v/>
      </c>
      <c r="K155" s="57" t="str">
        <f t="shared" si="18"/>
        <v/>
      </c>
      <c r="L155" s="57" t="str">
        <f xml:space="preserve">
IF(OR('Dados da OS'!$D$8=Parâmetros!$B$3,'Dados da OS'!$D$8=Parâmetros!$B$4),
  IF(OR(ISBLANK(D155),ISBLANK(F155)),
     IF(OR(B155="ALI",B155="AIE"),"L",IF(ISBLANK(B155),"","A")),
     IF(B155="EE",IF(F155&gt;=3,IF(D155&gt;=5,"H","A"),
     IF(F155&gt;=2,IF(D155&gt;=16,"H",IF(D155&lt;=4,"L","A")),IF(D155&lt;=15,"L","A"))),
     IF(OR(B155="SE",B155="CE"),IF(F155&gt;=4,IF(D155&gt;=6,"H","A"),IF(F155&gt;=2,IF(D155&gt;=20,"H",IF(D155&lt;=5,"L","A")),IF(D155&lt;=19,"L","A"))),
     IF(OR(B155="ALI",B155="AIE"),IF(F155&gt;=6,IF(D155&gt;=20,"H","A"),IF(F155&gt;=2,IF(D155&gt;=51,"H",IF(D155&lt;=19,"L","A")),IF(D155&lt;=50,"L","A"))))))),
IF('Dados da OS'!$D$8=Parâmetros!$B$6,"Indicativa",
IF('Dados da OS'!$D$8=Parâmetros!$B$5,"PFS","")))</f>
        <v/>
      </c>
      <c r="M155" s="57">
        <f>IFERROR(VLOOKUP(C155,'Fatores de Impacto e INMs'!$A$3:$D$32,3,0),1)</f>
        <v>1</v>
      </c>
      <c r="N155" s="57">
        <f>IFERROR(VLOOKUP(C155,'Fatores de Impacto e INMs'!$A$3:$E$32,5,0),1)</f>
        <v>1</v>
      </c>
      <c r="O155" s="63" t="str">
        <f xml:space="preserve">
IF(OR('Dados da OS'!$D$8="Selecione o tipo da contagem",ISBLANK('Dados da OS'!$D$8),B155="INM",B155="N/A",ISBLANK(B155),ISBLANK(C155),N155="VF"),"-",
   IF('Dados da OS'!$D$8=Parâmetros!$B$3,
      IF(OR(ISBLANK(D155),ISBLANK(F155)),"-",
         IF(L155="L","Baixa",IF(L155="A","Média",IF(L155="H","Alta","-")))),
      IF('Dados da OS'!$D$8=Parâmetros!$B$4,
         IF(OR(B155="ALI",B155="AIE"),"Baixa",IF(OR(B155="EE",B155="SE",B155="CE"),"Média","-")),
         IF(OR('Dados da OS'!$D$8=Parâmetros!$B$5,'Dados da OS'!$D$8=Parâmetros!$B$6),"-"))))</f>
        <v>-</v>
      </c>
      <c r="P155" s="59" t="str">
        <f xml:space="preserve">
IF(OR(ISBLANK(B155),ISBLANK(C155),B155="N/A",ISBLANK('Dados da OS'!$D$8)),"",
   IF(OR('Dados da OS'!$D$8=Parâmetros!$B$3,'Dados da OS'!$D$8=Parâmetros!$B$4),
      IF(OR(AND(B155="INM",N155&lt;&gt;"VF"),AND(N155="VF",B155&lt;&gt;"INM")),"",
        IF(AND(B155="INM",N155="VF"),IF(ISBLANK(H155),"",M155*H155),
        IF('Dados da OS'!$D$8=Parâmetros!$B$4,
           IF(OR(B155="CE",B155="EE"),4,IF(B155="SE",5,IF(B155="ALI",7,IF(B155="AIE",5,"")))),
        IF('Dados da OS'!$D$8=Parâmetros!$B$3,
           IF(OR(ISBLANK(D155),ISBLANK(F155)),"",
              IF(B155="ALI",IF(L155="L",7,IF(L155="A",10,15)),
                 IF(B155="AIE",IF(L155="L",5,IF(L155="A",7,10)),
                    IF(B155="SE",IF(L155="L",4,IF(L155="A",5,7)),
                       IF(OR(B155="EE",B155="CE"),IF(L155="L",3,IF(L155="A",4,6)),""))))))))),
   IF('Dados da OS'!$D$8=Parâmetros!$B$5,
      IF(OR(AND(B155="INM",N155&lt;&gt;"VF"),AND(N155="VF",B155&lt;&gt;"INM")),"",
         IF(B155="INM",IF(N155="VF",M155*H155,""),
            IF(B155="PE",4.6,
            IF(B155="AL",7,"")))),
   IF('Dados da OS'!$D$8=Parâmetros!$B$6,
      IF(B155="ALI",35,IF(B155="AIE",15,"")),""))
    )
)</f>
        <v/>
      </c>
      <c r="Q155" s="60" t="str">
        <f t="shared" si="19"/>
        <v/>
      </c>
      <c r="R155" s="61"/>
      <c r="S155" s="62"/>
      <c r="T155" s="80" t="s">
        <v>21</v>
      </c>
      <c r="U155" s="81"/>
      <c r="V155" s="99"/>
      <c r="W155" s="55"/>
      <c r="X155" s="55"/>
      <c r="Y155" s="56"/>
      <c r="Z155" s="55"/>
      <c r="AA155" s="56"/>
      <c r="AB155" s="55"/>
      <c r="AC155" s="57" t="str">
        <f t="shared" si="20"/>
        <v/>
      </c>
      <c r="AD155" s="57" t="str">
        <f t="shared" si="21"/>
        <v/>
      </c>
      <c r="AE155" s="57" t="str">
        <f xml:space="preserve">
IF(OR('Dados da OS'!$D$8=Parâmetros!$B$3,'Dados da OS'!$D$8=Parâmetros!$B$4),
  IF(OR(ISBLANK(X155),ISBLANK(Z155)),
     IF(OR(V155="ALI",V155="AIE"),"L",IF(ISBLANK(V155),"","A")),
     IF(V155="EE",IF(Z155&gt;=3,IF(X155&gt;=5,"H","A"),
     IF(Z155&gt;=2,IF(X155&gt;=16,"H",IF(X155&lt;=4,"L","A")),IF(X155&lt;=15,"L","A"))),
     IF(OR(V155="SE",V155="CE"),IF(Z155&gt;=4,IF(X155&gt;=6,"H","A"),IF(Z155&gt;=2,IF(X155&gt;=20,"H",IF(X155&lt;=5,"L","A")),IF(X155&lt;=19,"L","A"))),
     IF(OR(V155="ALI",V155="AIE"),IF(Z155&gt;=6,IF(X155&gt;=20,"H","A"),IF(Z155&gt;=2,IF(X155&gt;=51,"H",IF(X155&lt;=19,"L","A")),IF(X155&lt;=50,"L","A"))))))),
IF('Dados da OS'!$D$8=Parâmetros!$B$6,"Indicativa",
IF('Dados da OS'!$D$8=Parâmetros!$B$5,"PFS","")))</f>
        <v/>
      </c>
      <c r="AF155" s="57">
        <f>IFERROR(VLOOKUP(W155,'Fatores de Impacto e INMs'!$A$3:$D$32,3,0),1)</f>
        <v>1</v>
      </c>
      <c r="AG155" s="57">
        <f>IFERROR(VLOOKUP(W155,'Fatores de Impacto e INMs'!$A$3:$E$32,5,0),1)</f>
        <v>1</v>
      </c>
      <c r="AH155" s="82" t="str">
        <f xml:space="preserve">
IF(OR('Dados da OS'!$D$8="Selecione o tipo da contagem",ISBLANK('Dados da OS'!$D$8),V155="INM",V155="N/A",ISBLANK(V155),ISBLANK(W155),AG155="VF"),"-",
   IF('Dados da OS'!$D$8=Parâmetros!$B$3,
      IF(OR(ISBLANK(X155),ISBLANK(Z155)),"-",
         IF(AE155="L","Baixa",IF(AE155="A","Média",IF(AE155="H","Alta","-")))),
      IF('Dados da OS'!$D$8=Parâmetros!$B$4,
         IF(OR(V155="ALI",V155="AIE"),"Baixa",IF(OR(V155="EE",V155="SE",V155="CE"),"Média","-")),
         IF(OR('Dados da OS'!$D$8=Parâmetros!$B$5,'Dados da OS'!$D$8=Parâmetros!$B$6),"-"))))</f>
        <v>-</v>
      </c>
      <c r="AI155" s="83" t="str">
        <f xml:space="preserve">
IF(OR(ISBLANK(V155),ISBLANK(U155),ISBLANK(W155),V155="N/A",ISBLANK('Dados da OS'!$D$8)),"",
   IF(OR('Dados da OS'!$D$8=Parâmetros!$B$3,'Dados da OS'!$D$8=Parâmetros!$B$4),
      IF(OR(AND(V155="INM",AG155&lt;&gt;"VF"),AND(AG155="VF",V155&lt;&gt;"INM")),"",
        IF(AND(V155="INM",AG155="VF"),IF(ISBLANK(AB155),"",AF155*AB155),
        IF('Dados da OS'!$D$8=Parâmetros!$B$4,
           IF(OR(V155="CE",V155="EE"),4,IF(V155="SE",5,IF(V155="ALI",7,IF(V155="AIE",5,"")))),
        IF('Dados da OS'!$D$8=Parâmetros!$B$3,
           IF(OR(ISBLANK(X155),ISBLANK(Z155)),"",
              IF(V155="ALI",IF(AE155="L",7,IF(AE155="A",10,15)),
                 IF(V155="AIE",IF(AE155="L",5,IF(AE155="A",7,10)),
                    IF(V155="SE",IF(AE155="L",4,IF(AE155="A",5,7)),
                       IF(OR(V155="EE",V155="CE"),IF(AE155="L",3,IF(AE155="A",4,6)),""))))))))),
   IF('Dados da OS'!$D$8=Parâmetros!$B$5,
      IF(OR(AND(V155="INM",AG155&lt;&gt;"VF"),AND(AG155="VF",V155&lt;&gt;"INM")),"",
         IF(V155="INM",IF(AG155="VF",AF155*AB155,""),
            IF(V155="PE",4.6,
            IF(V155="AL",7,"")))),
   IF('Dados da OS'!$D$8=Parâmetros!$B$6,
      IF(V155="ALI",35,IF(V155="AIE",15,"")),""))
    )
)</f>
        <v/>
      </c>
      <c r="AJ155" s="82" t="str">
        <f t="shared" si="22"/>
        <v/>
      </c>
      <c r="AK155" s="84"/>
      <c r="AL155" s="85" t="s">
        <v>21</v>
      </c>
      <c r="AM155" s="86"/>
      <c r="AN155" s="85"/>
      <c r="AO155" s="87"/>
      <c r="AP155" s="85"/>
      <c r="AQ155" s="86"/>
      <c r="AR155" s="85"/>
    </row>
    <row r="156" spans="1:44" ht="15.75" customHeight="1">
      <c r="A156" s="54"/>
      <c r="B156" s="100"/>
      <c r="C156" s="55"/>
      <c r="D156" s="55"/>
      <c r="E156" s="56"/>
      <c r="F156" s="55"/>
      <c r="G156" s="56"/>
      <c r="H156" s="55"/>
      <c r="I156" s="64"/>
      <c r="J156" s="57" t="str">
        <f t="shared" si="17"/>
        <v/>
      </c>
      <c r="K156" s="57" t="str">
        <f t="shared" si="18"/>
        <v/>
      </c>
      <c r="L156" s="57" t="str">
        <f xml:space="preserve">
IF(OR('Dados da OS'!$D$8=Parâmetros!$B$3,'Dados da OS'!$D$8=Parâmetros!$B$4),
  IF(OR(ISBLANK(D156),ISBLANK(F156)),
     IF(OR(B156="ALI",B156="AIE"),"L",IF(ISBLANK(B156),"","A")),
     IF(B156="EE",IF(F156&gt;=3,IF(D156&gt;=5,"H","A"),
     IF(F156&gt;=2,IF(D156&gt;=16,"H",IF(D156&lt;=4,"L","A")),IF(D156&lt;=15,"L","A"))),
     IF(OR(B156="SE",B156="CE"),IF(F156&gt;=4,IF(D156&gt;=6,"H","A"),IF(F156&gt;=2,IF(D156&gt;=20,"H",IF(D156&lt;=5,"L","A")),IF(D156&lt;=19,"L","A"))),
     IF(OR(B156="ALI",B156="AIE"),IF(F156&gt;=6,IF(D156&gt;=20,"H","A"),IF(F156&gt;=2,IF(D156&gt;=51,"H",IF(D156&lt;=19,"L","A")),IF(D156&lt;=50,"L","A"))))))),
IF('Dados da OS'!$D$8=Parâmetros!$B$6,"Indicativa",
IF('Dados da OS'!$D$8=Parâmetros!$B$5,"PFS","")))</f>
        <v/>
      </c>
      <c r="M156" s="57">
        <f>IFERROR(VLOOKUP(C156,'Fatores de Impacto e INMs'!$A$3:$D$32,3,0),1)</f>
        <v>1</v>
      </c>
      <c r="N156" s="57">
        <f>IFERROR(VLOOKUP(C156,'Fatores de Impacto e INMs'!$A$3:$E$32,5,0),1)</f>
        <v>1</v>
      </c>
      <c r="O156" s="63" t="str">
        <f xml:space="preserve">
IF(OR('Dados da OS'!$D$8="Selecione o tipo da contagem",ISBLANK('Dados da OS'!$D$8),B156="INM",B156="N/A",ISBLANK(B156),ISBLANK(C156),N156="VF"),"-",
   IF('Dados da OS'!$D$8=Parâmetros!$B$3,
      IF(OR(ISBLANK(D156),ISBLANK(F156)),"-",
         IF(L156="L","Baixa",IF(L156="A","Média",IF(L156="H","Alta","-")))),
      IF('Dados da OS'!$D$8=Parâmetros!$B$4,
         IF(OR(B156="ALI",B156="AIE"),"Baixa",IF(OR(B156="EE",B156="SE",B156="CE"),"Média","-")),
         IF(OR('Dados da OS'!$D$8=Parâmetros!$B$5,'Dados da OS'!$D$8=Parâmetros!$B$6),"-"))))</f>
        <v>-</v>
      </c>
      <c r="P156" s="59" t="str">
        <f xml:space="preserve">
IF(OR(ISBLANK(B156),ISBLANK(C156),B156="N/A",ISBLANK('Dados da OS'!$D$8)),"",
   IF(OR('Dados da OS'!$D$8=Parâmetros!$B$3,'Dados da OS'!$D$8=Parâmetros!$B$4),
      IF(OR(AND(B156="INM",N156&lt;&gt;"VF"),AND(N156="VF",B156&lt;&gt;"INM")),"",
        IF(AND(B156="INM",N156="VF"),IF(ISBLANK(H156),"",M156*H156),
        IF('Dados da OS'!$D$8=Parâmetros!$B$4,
           IF(OR(B156="CE",B156="EE"),4,IF(B156="SE",5,IF(B156="ALI",7,IF(B156="AIE",5,"")))),
        IF('Dados da OS'!$D$8=Parâmetros!$B$3,
           IF(OR(ISBLANK(D156),ISBLANK(F156)),"",
              IF(B156="ALI",IF(L156="L",7,IF(L156="A",10,15)),
                 IF(B156="AIE",IF(L156="L",5,IF(L156="A",7,10)),
                    IF(B156="SE",IF(L156="L",4,IF(L156="A",5,7)),
                       IF(OR(B156="EE",B156="CE"),IF(L156="L",3,IF(L156="A",4,6)),""))))))))),
   IF('Dados da OS'!$D$8=Parâmetros!$B$5,
      IF(OR(AND(B156="INM",N156&lt;&gt;"VF"),AND(N156="VF",B156&lt;&gt;"INM")),"",
         IF(B156="INM",IF(N156="VF",M156*H156,""),
            IF(B156="PE",4.6,
            IF(B156="AL",7,"")))),
   IF('Dados da OS'!$D$8=Parâmetros!$B$6,
      IF(B156="ALI",35,IF(B156="AIE",15,"")),""))
    )
)</f>
        <v/>
      </c>
      <c r="Q156" s="60" t="str">
        <f t="shared" si="19"/>
        <v/>
      </c>
      <c r="R156" s="61"/>
      <c r="S156" s="62"/>
      <c r="T156" s="80" t="s">
        <v>21</v>
      </c>
      <c r="U156" s="81"/>
      <c r="V156" s="99"/>
      <c r="W156" s="55"/>
      <c r="X156" s="55"/>
      <c r="Y156" s="56"/>
      <c r="Z156" s="55"/>
      <c r="AA156" s="56"/>
      <c r="AB156" s="55"/>
      <c r="AC156" s="57" t="str">
        <f t="shared" si="20"/>
        <v/>
      </c>
      <c r="AD156" s="57" t="str">
        <f t="shared" si="21"/>
        <v/>
      </c>
      <c r="AE156" s="57" t="str">
        <f xml:space="preserve">
IF(OR('Dados da OS'!$D$8=Parâmetros!$B$3,'Dados da OS'!$D$8=Parâmetros!$B$4),
  IF(OR(ISBLANK(X156),ISBLANK(Z156)),
     IF(OR(V156="ALI",V156="AIE"),"L",IF(ISBLANK(V156),"","A")),
     IF(V156="EE",IF(Z156&gt;=3,IF(X156&gt;=5,"H","A"),
     IF(Z156&gt;=2,IF(X156&gt;=16,"H",IF(X156&lt;=4,"L","A")),IF(X156&lt;=15,"L","A"))),
     IF(OR(V156="SE",V156="CE"),IF(Z156&gt;=4,IF(X156&gt;=6,"H","A"),IF(Z156&gt;=2,IF(X156&gt;=20,"H",IF(X156&lt;=5,"L","A")),IF(X156&lt;=19,"L","A"))),
     IF(OR(V156="ALI",V156="AIE"),IF(Z156&gt;=6,IF(X156&gt;=20,"H","A"),IF(Z156&gt;=2,IF(X156&gt;=51,"H",IF(X156&lt;=19,"L","A")),IF(X156&lt;=50,"L","A"))))))),
IF('Dados da OS'!$D$8=Parâmetros!$B$6,"Indicativa",
IF('Dados da OS'!$D$8=Parâmetros!$B$5,"PFS","")))</f>
        <v/>
      </c>
      <c r="AF156" s="57">
        <f>IFERROR(VLOOKUP(W156,'Fatores de Impacto e INMs'!$A$3:$D$32,3,0),1)</f>
        <v>1</v>
      </c>
      <c r="AG156" s="57">
        <f>IFERROR(VLOOKUP(W156,'Fatores de Impacto e INMs'!$A$3:$E$32,5,0),1)</f>
        <v>1</v>
      </c>
      <c r="AH156" s="82" t="str">
        <f xml:space="preserve">
IF(OR('Dados da OS'!$D$8="Selecione o tipo da contagem",ISBLANK('Dados da OS'!$D$8),V156="INM",V156="N/A",ISBLANK(V156),ISBLANK(W156),AG156="VF"),"-",
   IF('Dados da OS'!$D$8=Parâmetros!$B$3,
      IF(OR(ISBLANK(X156),ISBLANK(Z156)),"-",
         IF(AE156="L","Baixa",IF(AE156="A","Média",IF(AE156="H","Alta","-")))),
      IF('Dados da OS'!$D$8=Parâmetros!$B$4,
         IF(OR(V156="ALI",V156="AIE"),"Baixa",IF(OR(V156="EE",V156="SE",V156="CE"),"Média","-")),
         IF(OR('Dados da OS'!$D$8=Parâmetros!$B$5,'Dados da OS'!$D$8=Parâmetros!$B$6),"-"))))</f>
        <v>-</v>
      </c>
      <c r="AI156" s="83" t="str">
        <f xml:space="preserve">
IF(OR(ISBLANK(V156),ISBLANK(U156),ISBLANK(W156),V156="N/A",ISBLANK('Dados da OS'!$D$8)),"",
   IF(OR('Dados da OS'!$D$8=Parâmetros!$B$3,'Dados da OS'!$D$8=Parâmetros!$B$4),
      IF(OR(AND(V156="INM",AG156&lt;&gt;"VF"),AND(AG156="VF",V156&lt;&gt;"INM")),"",
        IF(AND(V156="INM",AG156="VF"),IF(ISBLANK(AB156),"",AF156*AB156),
        IF('Dados da OS'!$D$8=Parâmetros!$B$4,
           IF(OR(V156="CE",V156="EE"),4,IF(V156="SE",5,IF(V156="ALI",7,IF(V156="AIE",5,"")))),
        IF('Dados da OS'!$D$8=Parâmetros!$B$3,
           IF(OR(ISBLANK(X156),ISBLANK(Z156)),"",
              IF(V156="ALI",IF(AE156="L",7,IF(AE156="A",10,15)),
                 IF(V156="AIE",IF(AE156="L",5,IF(AE156="A",7,10)),
                    IF(V156="SE",IF(AE156="L",4,IF(AE156="A",5,7)),
                       IF(OR(V156="EE",V156="CE"),IF(AE156="L",3,IF(AE156="A",4,6)),""))))))))),
   IF('Dados da OS'!$D$8=Parâmetros!$B$5,
      IF(OR(AND(V156="INM",AG156&lt;&gt;"VF"),AND(AG156="VF",V156&lt;&gt;"INM")),"",
         IF(V156="INM",IF(AG156="VF",AF156*AB156,""),
            IF(V156="PE",4.6,
            IF(V156="AL",7,"")))),
   IF('Dados da OS'!$D$8=Parâmetros!$B$6,
      IF(V156="ALI",35,IF(V156="AIE",15,"")),""))
    )
)</f>
        <v/>
      </c>
      <c r="AJ156" s="82" t="str">
        <f t="shared" si="22"/>
        <v/>
      </c>
      <c r="AK156" s="84"/>
      <c r="AL156" s="85" t="s">
        <v>21</v>
      </c>
      <c r="AM156" s="86"/>
      <c r="AN156" s="85"/>
      <c r="AO156" s="87"/>
      <c r="AP156" s="85"/>
      <c r="AQ156" s="86"/>
      <c r="AR156" s="85"/>
    </row>
    <row r="157" spans="1:44" ht="15.75" customHeight="1">
      <c r="A157" s="54"/>
      <c r="B157" s="100"/>
      <c r="C157" s="55"/>
      <c r="D157" s="55"/>
      <c r="E157" s="56"/>
      <c r="F157" s="55"/>
      <c r="G157" s="56"/>
      <c r="H157" s="55"/>
      <c r="I157" s="64"/>
      <c r="J157" s="57" t="str">
        <f t="shared" si="17"/>
        <v/>
      </c>
      <c r="K157" s="57" t="str">
        <f t="shared" si="18"/>
        <v/>
      </c>
      <c r="L157" s="57" t="str">
        <f xml:space="preserve">
IF(OR('Dados da OS'!$D$8=Parâmetros!$B$3,'Dados da OS'!$D$8=Parâmetros!$B$4),
  IF(OR(ISBLANK(D157),ISBLANK(F157)),
     IF(OR(B157="ALI",B157="AIE"),"L",IF(ISBLANK(B157),"","A")),
     IF(B157="EE",IF(F157&gt;=3,IF(D157&gt;=5,"H","A"),
     IF(F157&gt;=2,IF(D157&gt;=16,"H",IF(D157&lt;=4,"L","A")),IF(D157&lt;=15,"L","A"))),
     IF(OR(B157="SE",B157="CE"),IF(F157&gt;=4,IF(D157&gt;=6,"H","A"),IF(F157&gt;=2,IF(D157&gt;=20,"H",IF(D157&lt;=5,"L","A")),IF(D157&lt;=19,"L","A"))),
     IF(OR(B157="ALI",B157="AIE"),IF(F157&gt;=6,IF(D157&gt;=20,"H","A"),IF(F157&gt;=2,IF(D157&gt;=51,"H",IF(D157&lt;=19,"L","A")),IF(D157&lt;=50,"L","A"))))))),
IF('Dados da OS'!$D$8=Parâmetros!$B$6,"Indicativa",
IF('Dados da OS'!$D$8=Parâmetros!$B$5,"PFS","")))</f>
        <v/>
      </c>
      <c r="M157" s="57">
        <f>IFERROR(VLOOKUP(C157,'Fatores de Impacto e INMs'!$A$3:$D$32,3,0),1)</f>
        <v>1</v>
      </c>
      <c r="N157" s="57">
        <f>IFERROR(VLOOKUP(C157,'Fatores de Impacto e INMs'!$A$3:$E$32,5,0),1)</f>
        <v>1</v>
      </c>
      <c r="O157" s="63" t="str">
        <f xml:space="preserve">
IF(OR('Dados da OS'!$D$8="Selecione o tipo da contagem",ISBLANK('Dados da OS'!$D$8),B157="INM",B157="N/A",ISBLANK(B157),ISBLANK(C157),N157="VF"),"-",
   IF('Dados da OS'!$D$8=Parâmetros!$B$3,
      IF(OR(ISBLANK(D157),ISBLANK(F157)),"-",
         IF(L157="L","Baixa",IF(L157="A","Média",IF(L157="H","Alta","-")))),
      IF('Dados da OS'!$D$8=Parâmetros!$B$4,
         IF(OR(B157="ALI",B157="AIE"),"Baixa",IF(OR(B157="EE",B157="SE",B157="CE"),"Média","-")),
         IF(OR('Dados da OS'!$D$8=Parâmetros!$B$5,'Dados da OS'!$D$8=Parâmetros!$B$6),"-"))))</f>
        <v>-</v>
      </c>
      <c r="P157" s="59" t="str">
        <f xml:space="preserve">
IF(OR(ISBLANK(B157),ISBLANK(C157),B157="N/A",ISBLANK('Dados da OS'!$D$8)),"",
   IF(OR('Dados da OS'!$D$8=Parâmetros!$B$3,'Dados da OS'!$D$8=Parâmetros!$B$4),
      IF(OR(AND(B157="INM",N157&lt;&gt;"VF"),AND(N157="VF",B157&lt;&gt;"INM")),"",
        IF(AND(B157="INM",N157="VF"),IF(ISBLANK(H157),"",M157*H157),
        IF('Dados da OS'!$D$8=Parâmetros!$B$4,
           IF(OR(B157="CE",B157="EE"),4,IF(B157="SE",5,IF(B157="ALI",7,IF(B157="AIE",5,"")))),
        IF('Dados da OS'!$D$8=Parâmetros!$B$3,
           IF(OR(ISBLANK(D157),ISBLANK(F157)),"",
              IF(B157="ALI",IF(L157="L",7,IF(L157="A",10,15)),
                 IF(B157="AIE",IF(L157="L",5,IF(L157="A",7,10)),
                    IF(B157="SE",IF(L157="L",4,IF(L157="A",5,7)),
                       IF(OR(B157="EE",B157="CE"),IF(L157="L",3,IF(L157="A",4,6)),""))))))))),
   IF('Dados da OS'!$D$8=Parâmetros!$B$5,
      IF(OR(AND(B157="INM",N157&lt;&gt;"VF"),AND(N157="VF",B157&lt;&gt;"INM")),"",
         IF(B157="INM",IF(N157="VF",M157*H157,""),
            IF(B157="PE",4.6,
            IF(B157="AL",7,"")))),
   IF('Dados da OS'!$D$8=Parâmetros!$B$6,
      IF(B157="ALI",35,IF(B157="AIE",15,"")),""))
    )
)</f>
        <v/>
      </c>
      <c r="Q157" s="60" t="str">
        <f t="shared" si="19"/>
        <v/>
      </c>
      <c r="R157" s="61"/>
      <c r="S157" s="62"/>
      <c r="T157" s="80" t="s">
        <v>21</v>
      </c>
      <c r="U157" s="81"/>
      <c r="V157" s="99"/>
      <c r="W157" s="55"/>
      <c r="X157" s="55"/>
      <c r="Y157" s="56"/>
      <c r="Z157" s="55"/>
      <c r="AA157" s="56"/>
      <c r="AB157" s="55"/>
      <c r="AC157" s="57" t="str">
        <f t="shared" si="20"/>
        <v/>
      </c>
      <c r="AD157" s="57" t="str">
        <f t="shared" si="21"/>
        <v/>
      </c>
      <c r="AE157" s="57" t="str">
        <f xml:space="preserve">
IF(OR('Dados da OS'!$D$8=Parâmetros!$B$3,'Dados da OS'!$D$8=Parâmetros!$B$4),
  IF(OR(ISBLANK(X157),ISBLANK(Z157)),
     IF(OR(V157="ALI",V157="AIE"),"L",IF(ISBLANK(V157),"","A")),
     IF(V157="EE",IF(Z157&gt;=3,IF(X157&gt;=5,"H","A"),
     IF(Z157&gt;=2,IF(X157&gt;=16,"H",IF(X157&lt;=4,"L","A")),IF(X157&lt;=15,"L","A"))),
     IF(OR(V157="SE",V157="CE"),IF(Z157&gt;=4,IF(X157&gt;=6,"H","A"),IF(Z157&gt;=2,IF(X157&gt;=20,"H",IF(X157&lt;=5,"L","A")),IF(X157&lt;=19,"L","A"))),
     IF(OR(V157="ALI",V157="AIE"),IF(Z157&gt;=6,IF(X157&gt;=20,"H","A"),IF(Z157&gt;=2,IF(X157&gt;=51,"H",IF(X157&lt;=19,"L","A")),IF(X157&lt;=50,"L","A"))))))),
IF('Dados da OS'!$D$8=Parâmetros!$B$6,"Indicativa",
IF('Dados da OS'!$D$8=Parâmetros!$B$5,"PFS","")))</f>
        <v/>
      </c>
      <c r="AF157" s="57">
        <f>IFERROR(VLOOKUP(W157,'Fatores de Impacto e INMs'!$A$3:$D$32,3,0),1)</f>
        <v>1</v>
      </c>
      <c r="AG157" s="57">
        <f>IFERROR(VLOOKUP(W157,'Fatores de Impacto e INMs'!$A$3:$E$32,5,0),1)</f>
        <v>1</v>
      </c>
      <c r="AH157" s="82" t="str">
        <f xml:space="preserve">
IF(OR('Dados da OS'!$D$8="Selecione o tipo da contagem",ISBLANK('Dados da OS'!$D$8),V157="INM",V157="N/A",ISBLANK(V157),ISBLANK(W157),AG157="VF"),"-",
   IF('Dados da OS'!$D$8=Parâmetros!$B$3,
      IF(OR(ISBLANK(X157),ISBLANK(Z157)),"-",
         IF(AE157="L","Baixa",IF(AE157="A","Média",IF(AE157="H","Alta","-")))),
      IF('Dados da OS'!$D$8=Parâmetros!$B$4,
         IF(OR(V157="ALI",V157="AIE"),"Baixa",IF(OR(V157="EE",V157="SE",V157="CE"),"Média","-")),
         IF(OR('Dados da OS'!$D$8=Parâmetros!$B$5,'Dados da OS'!$D$8=Parâmetros!$B$6),"-"))))</f>
        <v>-</v>
      </c>
      <c r="AI157" s="83" t="str">
        <f xml:space="preserve">
IF(OR(ISBLANK(V157),ISBLANK(U157),ISBLANK(W157),V157="N/A",ISBLANK('Dados da OS'!$D$8)),"",
   IF(OR('Dados da OS'!$D$8=Parâmetros!$B$3,'Dados da OS'!$D$8=Parâmetros!$B$4),
      IF(OR(AND(V157="INM",AG157&lt;&gt;"VF"),AND(AG157="VF",V157&lt;&gt;"INM")),"",
        IF(AND(V157="INM",AG157="VF"),IF(ISBLANK(AB157),"",AF157*AB157),
        IF('Dados da OS'!$D$8=Parâmetros!$B$4,
           IF(OR(V157="CE",V157="EE"),4,IF(V157="SE",5,IF(V157="ALI",7,IF(V157="AIE",5,"")))),
        IF('Dados da OS'!$D$8=Parâmetros!$B$3,
           IF(OR(ISBLANK(X157),ISBLANK(Z157)),"",
              IF(V157="ALI",IF(AE157="L",7,IF(AE157="A",10,15)),
                 IF(V157="AIE",IF(AE157="L",5,IF(AE157="A",7,10)),
                    IF(V157="SE",IF(AE157="L",4,IF(AE157="A",5,7)),
                       IF(OR(V157="EE",V157="CE"),IF(AE157="L",3,IF(AE157="A",4,6)),""))))))))),
   IF('Dados da OS'!$D$8=Parâmetros!$B$5,
      IF(OR(AND(V157="INM",AG157&lt;&gt;"VF"),AND(AG157="VF",V157&lt;&gt;"INM")),"",
         IF(V157="INM",IF(AG157="VF",AF157*AB157,""),
            IF(V157="PE",4.6,
            IF(V157="AL",7,"")))),
   IF('Dados da OS'!$D$8=Parâmetros!$B$6,
      IF(V157="ALI",35,IF(V157="AIE",15,"")),""))
    )
)</f>
        <v/>
      </c>
      <c r="AJ157" s="82" t="str">
        <f t="shared" si="22"/>
        <v/>
      </c>
      <c r="AK157" s="84"/>
      <c r="AL157" s="85" t="s">
        <v>21</v>
      </c>
      <c r="AM157" s="86"/>
      <c r="AN157" s="85"/>
      <c r="AO157" s="87"/>
      <c r="AP157" s="85"/>
      <c r="AQ157" s="86"/>
      <c r="AR157" s="85"/>
    </row>
    <row r="158" spans="1:44" ht="15.75" customHeight="1">
      <c r="A158" s="54"/>
      <c r="B158" s="100"/>
      <c r="C158" s="55"/>
      <c r="D158" s="55"/>
      <c r="E158" s="56"/>
      <c r="F158" s="55"/>
      <c r="G158" s="56"/>
      <c r="H158" s="55"/>
      <c r="I158" s="64"/>
      <c r="J158" s="57" t="str">
        <f t="shared" si="17"/>
        <v/>
      </c>
      <c r="K158" s="57" t="str">
        <f t="shared" si="18"/>
        <v/>
      </c>
      <c r="L158" s="57" t="str">
        <f xml:space="preserve">
IF(OR('Dados da OS'!$D$8=Parâmetros!$B$3,'Dados da OS'!$D$8=Parâmetros!$B$4),
  IF(OR(ISBLANK(D158),ISBLANK(F158)),
     IF(OR(B158="ALI",B158="AIE"),"L",IF(ISBLANK(B158),"","A")),
     IF(B158="EE",IF(F158&gt;=3,IF(D158&gt;=5,"H","A"),
     IF(F158&gt;=2,IF(D158&gt;=16,"H",IF(D158&lt;=4,"L","A")),IF(D158&lt;=15,"L","A"))),
     IF(OR(B158="SE",B158="CE"),IF(F158&gt;=4,IF(D158&gt;=6,"H","A"),IF(F158&gt;=2,IF(D158&gt;=20,"H",IF(D158&lt;=5,"L","A")),IF(D158&lt;=19,"L","A"))),
     IF(OR(B158="ALI",B158="AIE"),IF(F158&gt;=6,IF(D158&gt;=20,"H","A"),IF(F158&gt;=2,IF(D158&gt;=51,"H",IF(D158&lt;=19,"L","A")),IF(D158&lt;=50,"L","A"))))))),
IF('Dados da OS'!$D$8=Parâmetros!$B$6,"Indicativa",
IF('Dados da OS'!$D$8=Parâmetros!$B$5,"PFS","")))</f>
        <v/>
      </c>
      <c r="M158" s="57">
        <f>IFERROR(VLOOKUP(C158,'Fatores de Impacto e INMs'!$A$3:$D$32,3,0),1)</f>
        <v>1</v>
      </c>
      <c r="N158" s="57">
        <f>IFERROR(VLOOKUP(C158,'Fatores de Impacto e INMs'!$A$3:$E$32,5,0),1)</f>
        <v>1</v>
      </c>
      <c r="O158" s="63" t="str">
        <f xml:space="preserve">
IF(OR('Dados da OS'!$D$8="Selecione o tipo da contagem",ISBLANK('Dados da OS'!$D$8),B158="INM",B158="N/A",ISBLANK(B158),ISBLANK(C158),N158="VF"),"-",
   IF('Dados da OS'!$D$8=Parâmetros!$B$3,
      IF(OR(ISBLANK(D158),ISBLANK(F158)),"-",
         IF(L158="L","Baixa",IF(L158="A","Média",IF(L158="H","Alta","-")))),
      IF('Dados da OS'!$D$8=Parâmetros!$B$4,
         IF(OR(B158="ALI",B158="AIE"),"Baixa",IF(OR(B158="EE",B158="SE",B158="CE"),"Média","-")),
         IF(OR('Dados da OS'!$D$8=Parâmetros!$B$5,'Dados da OS'!$D$8=Parâmetros!$B$6),"-"))))</f>
        <v>-</v>
      </c>
      <c r="P158" s="59" t="str">
        <f xml:space="preserve">
IF(OR(ISBLANK(B158),ISBLANK(C158),B158="N/A",ISBLANK('Dados da OS'!$D$8)),"",
   IF(OR('Dados da OS'!$D$8=Parâmetros!$B$3,'Dados da OS'!$D$8=Parâmetros!$B$4),
      IF(OR(AND(B158="INM",N158&lt;&gt;"VF"),AND(N158="VF",B158&lt;&gt;"INM")),"",
        IF(AND(B158="INM",N158="VF"),IF(ISBLANK(H158),"",M158*H158),
        IF('Dados da OS'!$D$8=Parâmetros!$B$4,
           IF(OR(B158="CE",B158="EE"),4,IF(B158="SE",5,IF(B158="ALI",7,IF(B158="AIE",5,"")))),
        IF('Dados da OS'!$D$8=Parâmetros!$B$3,
           IF(OR(ISBLANK(D158),ISBLANK(F158)),"",
              IF(B158="ALI",IF(L158="L",7,IF(L158="A",10,15)),
                 IF(B158="AIE",IF(L158="L",5,IF(L158="A",7,10)),
                    IF(B158="SE",IF(L158="L",4,IF(L158="A",5,7)),
                       IF(OR(B158="EE",B158="CE"),IF(L158="L",3,IF(L158="A",4,6)),""))))))))),
   IF('Dados da OS'!$D$8=Parâmetros!$B$5,
      IF(OR(AND(B158="INM",N158&lt;&gt;"VF"),AND(N158="VF",B158&lt;&gt;"INM")),"",
         IF(B158="INM",IF(N158="VF",M158*H158,""),
            IF(B158="PE",4.6,
            IF(B158="AL",7,"")))),
   IF('Dados da OS'!$D$8=Parâmetros!$B$6,
      IF(B158="ALI",35,IF(B158="AIE",15,"")),""))
    )
)</f>
        <v/>
      </c>
      <c r="Q158" s="60" t="str">
        <f t="shared" si="19"/>
        <v/>
      </c>
      <c r="R158" s="61"/>
      <c r="S158" s="62"/>
      <c r="T158" s="80" t="s">
        <v>21</v>
      </c>
      <c r="U158" s="81"/>
      <c r="V158" s="99"/>
      <c r="W158" s="55"/>
      <c r="X158" s="55"/>
      <c r="Y158" s="56"/>
      <c r="Z158" s="55"/>
      <c r="AA158" s="56"/>
      <c r="AB158" s="55"/>
      <c r="AC158" s="57" t="str">
        <f t="shared" si="20"/>
        <v/>
      </c>
      <c r="AD158" s="57" t="str">
        <f t="shared" si="21"/>
        <v/>
      </c>
      <c r="AE158" s="57" t="str">
        <f xml:space="preserve">
IF(OR('Dados da OS'!$D$8=Parâmetros!$B$3,'Dados da OS'!$D$8=Parâmetros!$B$4),
  IF(OR(ISBLANK(X158),ISBLANK(Z158)),
     IF(OR(V158="ALI",V158="AIE"),"L",IF(ISBLANK(V158),"","A")),
     IF(V158="EE",IF(Z158&gt;=3,IF(X158&gt;=5,"H","A"),
     IF(Z158&gt;=2,IF(X158&gt;=16,"H",IF(X158&lt;=4,"L","A")),IF(X158&lt;=15,"L","A"))),
     IF(OR(V158="SE",V158="CE"),IF(Z158&gt;=4,IF(X158&gt;=6,"H","A"),IF(Z158&gt;=2,IF(X158&gt;=20,"H",IF(X158&lt;=5,"L","A")),IF(X158&lt;=19,"L","A"))),
     IF(OR(V158="ALI",V158="AIE"),IF(Z158&gt;=6,IF(X158&gt;=20,"H","A"),IF(Z158&gt;=2,IF(X158&gt;=51,"H",IF(X158&lt;=19,"L","A")),IF(X158&lt;=50,"L","A"))))))),
IF('Dados da OS'!$D$8=Parâmetros!$B$6,"Indicativa",
IF('Dados da OS'!$D$8=Parâmetros!$B$5,"PFS","")))</f>
        <v/>
      </c>
      <c r="AF158" s="57">
        <f>IFERROR(VLOOKUP(W158,'Fatores de Impacto e INMs'!$A$3:$D$32,3,0),1)</f>
        <v>1</v>
      </c>
      <c r="AG158" s="57">
        <f>IFERROR(VLOOKUP(W158,'Fatores de Impacto e INMs'!$A$3:$E$32,5,0),1)</f>
        <v>1</v>
      </c>
      <c r="AH158" s="82" t="str">
        <f xml:space="preserve">
IF(OR('Dados da OS'!$D$8="Selecione o tipo da contagem",ISBLANK('Dados da OS'!$D$8),V158="INM",V158="N/A",ISBLANK(V158),ISBLANK(W158),AG158="VF"),"-",
   IF('Dados da OS'!$D$8=Parâmetros!$B$3,
      IF(OR(ISBLANK(X158),ISBLANK(Z158)),"-",
         IF(AE158="L","Baixa",IF(AE158="A","Média",IF(AE158="H","Alta","-")))),
      IF('Dados da OS'!$D$8=Parâmetros!$B$4,
         IF(OR(V158="ALI",V158="AIE"),"Baixa",IF(OR(V158="EE",V158="SE",V158="CE"),"Média","-")),
         IF(OR('Dados da OS'!$D$8=Parâmetros!$B$5,'Dados da OS'!$D$8=Parâmetros!$B$6),"-"))))</f>
        <v>-</v>
      </c>
      <c r="AI158" s="83" t="str">
        <f xml:space="preserve">
IF(OR(ISBLANK(V158),ISBLANK(U158),ISBLANK(W158),V158="N/A",ISBLANK('Dados da OS'!$D$8)),"",
   IF(OR('Dados da OS'!$D$8=Parâmetros!$B$3,'Dados da OS'!$D$8=Parâmetros!$B$4),
      IF(OR(AND(V158="INM",AG158&lt;&gt;"VF"),AND(AG158="VF",V158&lt;&gt;"INM")),"",
        IF(AND(V158="INM",AG158="VF"),IF(ISBLANK(AB158),"",AF158*AB158),
        IF('Dados da OS'!$D$8=Parâmetros!$B$4,
           IF(OR(V158="CE",V158="EE"),4,IF(V158="SE",5,IF(V158="ALI",7,IF(V158="AIE",5,"")))),
        IF('Dados da OS'!$D$8=Parâmetros!$B$3,
           IF(OR(ISBLANK(X158),ISBLANK(Z158)),"",
              IF(V158="ALI",IF(AE158="L",7,IF(AE158="A",10,15)),
                 IF(V158="AIE",IF(AE158="L",5,IF(AE158="A",7,10)),
                    IF(V158="SE",IF(AE158="L",4,IF(AE158="A",5,7)),
                       IF(OR(V158="EE",V158="CE"),IF(AE158="L",3,IF(AE158="A",4,6)),""))))))))),
   IF('Dados da OS'!$D$8=Parâmetros!$B$5,
      IF(OR(AND(V158="INM",AG158&lt;&gt;"VF"),AND(AG158="VF",V158&lt;&gt;"INM")),"",
         IF(V158="INM",IF(AG158="VF",AF158*AB158,""),
            IF(V158="PE",4.6,
            IF(V158="AL",7,"")))),
   IF('Dados da OS'!$D$8=Parâmetros!$B$6,
      IF(V158="ALI",35,IF(V158="AIE",15,"")),""))
    )
)</f>
        <v/>
      </c>
      <c r="AJ158" s="82" t="str">
        <f t="shared" si="22"/>
        <v/>
      </c>
      <c r="AK158" s="84"/>
      <c r="AL158" s="85" t="s">
        <v>21</v>
      </c>
      <c r="AM158" s="86"/>
      <c r="AN158" s="85"/>
      <c r="AO158" s="87"/>
      <c r="AP158" s="85"/>
      <c r="AQ158" s="86"/>
      <c r="AR158" s="85"/>
    </row>
    <row r="159" spans="1:44" ht="15.75" customHeight="1">
      <c r="A159" s="54"/>
      <c r="B159" s="100"/>
      <c r="C159" s="55"/>
      <c r="D159" s="55"/>
      <c r="E159" s="56"/>
      <c r="F159" s="55"/>
      <c r="G159" s="56"/>
      <c r="H159" s="55"/>
      <c r="I159" s="64"/>
      <c r="J159" s="57" t="str">
        <f t="shared" si="17"/>
        <v/>
      </c>
      <c r="K159" s="57" t="str">
        <f t="shared" si="18"/>
        <v/>
      </c>
      <c r="L159" s="57" t="str">
        <f xml:space="preserve">
IF(OR('Dados da OS'!$D$8=Parâmetros!$B$3,'Dados da OS'!$D$8=Parâmetros!$B$4),
  IF(OR(ISBLANK(D159),ISBLANK(F159)),
     IF(OR(B159="ALI",B159="AIE"),"L",IF(ISBLANK(B159),"","A")),
     IF(B159="EE",IF(F159&gt;=3,IF(D159&gt;=5,"H","A"),
     IF(F159&gt;=2,IF(D159&gt;=16,"H",IF(D159&lt;=4,"L","A")),IF(D159&lt;=15,"L","A"))),
     IF(OR(B159="SE",B159="CE"),IF(F159&gt;=4,IF(D159&gt;=6,"H","A"),IF(F159&gt;=2,IF(D159&gt;=20,"H",IF(D159&lt;=5,"L","A")),IF(D159&lt;=19,"L","A"))),
     IF(OR(B159="ALI",B159="AIE"),IF(F159&gt;=6,IF(D159&gt;=20,"H","A"),IF(F159&gt;=2,IF(D159&gt;=51,"H",IF(D159&lt;=19,"L","A")),IF(D159&lt;=50,"L","A"))))))),
IF('Dados da OS'!$D$8=Parâmetros!$B$6,"Indicativa",
IF('Dados da OS'!$D$8=Parâmetros!$B$5,"PFS","")))</f>
        <v/>
      </c>
      <c r="M159" s="57">
        <f>IFERROR(VLOOKUP(C159,'Fatores de Impacto e INMs'!$A$3:$D$32,3,0),1)</f>
        <v>1</v>
      </c>
      <c r="N159" s="57">
        <f>IFERROR(VLOOKUP(C159,'Fatores de Impacto e INMs'!$A$3:$E$32,5,0),1)</f>
        <v>1</v>
      </c>
      <c r="O159" s="63" t="str">
        <f xml:space="preserve">
IF(OR('Dados da OS'!$D$8="Selecione o tipo da contagem",ISBLANK('Dados da OS'!$D$8),B159="INM",B159="N/A",ISBLANK(B159),ISBLANK(C159),N159="VF"),"-",
   IF('Dados da OS'!$D$8=Parâmetros!$B$3,
      IF(OR(ISBLANK(D159),ISBLANK(F159)),"-",
         IF(L159="L","Baixa",IF(L159="A","Média",IF(L159="H","Alta","-")))),
      IF('Dados da OS'!$D$8=Parâmetros!$B$4,
         IF(OR(B159="ALI",B159="AIE"),"Baixa",IF(OR(B159="EE",B159="SE",B159="CE"),"Média","-")),
         IF(OR('Dados da OS'!$D$8=Parâmetros!$B$5,'Dados da OS'!$D$8=Parâmetros!$B$6),"-"))))</f>
        <v>-</v>
      </c>
      <c r="P159" s="59" t="str">
        <f xml:space="preserve">
IF(OR(ISBLANK(B159),ISBLANK(C159),B159="N/A",ISBLANK('Dados da OS'!$D$8)),"",
   IF(OR('Dados da OS'!$D$8=Parâmetros!$B$3,'Dados da OS'!$D$8=Parâmetros!$B$4),
      IF(OR(AND(B159="INM",N159&lt;&gt;"VF"),AND(N159="VF",B159&lt;&gt;"INM")),"",
        IF(AND(B159="INM",N159="VF"),IF(ISBLANK(H159),"",M159*H159),
        IF('Dados da OS'!$D$8=Parâmetros!$B$4,
           IF(OR(B159="CE",B159="EE"),4,IF(B159="SE",5,IF(B159="ALI",7,IF(B159="AIE",5,"")))),
        IF('Dados da OS'!$D$8=Parâmetros!$B$3,
           IF(OR(ISBLANK(D159),ISBLANK(F159)),"",
              IF(B159="ALI",IF(L159="L",7,IF(L159="A",10,15)),
                 IF(B159="AIE",IF(L159="L",5,IF(L159="A",7,10)),
                    IF(B159="SE",IF(L159="L",4,IF(L159="A",5,7)),
                       IF(OR(B159="EE",B159="CE"),IF(L159="L",3,IF(L159="A",4,6)),""))))))))),
   IF('Dados da OS'!$D$8=Parâmetros!$B$5,
      IF(OR(AND(B159="INM",N159&lt;&gt;"VF"),AND(N159="VF",B159&lt;&gt;"INM")),"",
         IF(B159="INM",IF(N159="VF",M159*H159,""),
            IF(B159="PE",4.6,
            IF(B159="AL",7,"")))),
   IF('Dados da OS'!$D$8=Parâmetros!$B$6,
      IF(B159="ALI",35,IF(B159="AIE",15,"")),""))
    )
)</f>
        <v/>
      </c>
      <c r="Q159" s="60" t="str">
        <f t="shared" si="19"/>
        <v/>
      </c>
      <c r="R159" s="61"/>
      <c r="S159" s="62"/>
      <c r="T159" s="80" t="s">
        <v>21</v>
      </c>
      <c r="U159" s="81"/>
      <c r="V159" s="99"/>
      <c r="W159" s="55"/>
      <c r="X159" s="55"/>
      <c r="Y159" s="56"/>
      <c r="Z159" s="55"/>
      <c r="AA159" s="56"/>
      <c r="AB159" s="55"/>
      <c r="AC159" s="57" t="str">
        <f t="shared" si="20"/>
        <v/>
      </c>
      <c r="AD159" s="57" t="str">
        <f t="shared" si="21"/>
        <v/>
      </c>
      <c r="AE159" s="57" t="str">
        <f xml:space="preserve">
IF(OR('Dados da OS'!$D$8=Parâmetros!$B$3,'Dados da OS'!$D$8=Parâmetros!$B$4),
  IF(OR(ISBLANK(X159),ISBLANK(Z159)),
     IF(OR(V159="ALI",V159="AIE"),"L",IF(ISBLANK(V159),"","A")),
     IF(V159="EE",IF(Z159&gt;=3,IF(X159&gt;=5,"H","A"),
     IF(Z159&gt;=2,IF(X159&gt;=16,"H",IF(X159&lt;=4,"L","A")),IF(X159&lt;=15,"L","A"))),
     IF(OR(V159="SE",V159="CE"),IF(Z159&gt;=4,IF(X159&gt;=6,"H","A"),IF(Z159&gt;=2,IF(X159&gt;=20,"H",IF(X159&lt;=5,"L","A")),IF(X159&lt;=19,"L","A"))),
     IF(OR(V159="ALI",V159="AIE"),IF(Z159&gt;=6,IF(X159&gt;=20,"H","A"),IF(Z159&gt;=2,IF(X159&gt;=51,"H",IF(X159&lt;=19,"L","A")),IF(X159&lt;=50,"L","A"))))))),
IF('Dados da OS'!$D$8=Parâmetros!$B$6,"Indicativa",
IF('Dados da OS'!$D$8=Parâmetros!$B$5,"PFS","")))</f>
        <v/>
      </c>
      <c r="AF159" s="57">
        <f>IFERROR(VLOOKUP(W159,'Fatores de Impacto e INMs'!$A$3:$D$32,3,0),1)</f>
        <v>1</v>
      </c>
      <c r="AG159" s="57">
        <f>IFERROR(VLOOKUP(W159,'Fatores de Impacto e INMs'!$A$3:$E$32,5,0),1)</f>
        <v>1</v>
      </c>
      <c r="AH159" s="82" t="str">
        <f xml:space="preserve">
IF(OR('Dados da OS'!$D$8="Selecione o tipo da contagem",ISBLANK('Dados da OS'!$D$8),V159="INM",V159="N/A",ISBLANK(V159),ISBLANK(W159),AG159="VF"),"-",
   IF('Dados da OS'!$D$8=Parâmetros!$B$3,
      IF(OR(ISBLANK(X159),ISBLANK(Z159)),"-",
         IF(AE159="L","Baixa",IF(AE159="A","Média",IF(AE159="H","Alta","-")))),
      IF('Dados da OS'!$D$8=Parâmetros!$B$4,
         IF(OR(V159="ALI",V159="AIE"),"Baixa",IF(OR(V159="EE",V159="SE",V159="CE"),"Média","-")),
         IF(OR('Dados da OS'!$D$8=Parâmetros!$B$5,'Dados da OS'!$D$8=Parâmetros!$B$6),"-"))))</f>
        <v>-</v>
      </c>
      <c r="AI159" s="83" t="str">
        <f xml:space="preserve">
IF(OR(ISBLANK(V159),ISBLANK(U159),ISBLANK(W159),V159="N/A",ISBLANK('Dados da OS'!$D$8)),"",
   IF(OR('Dados da OS'!$D$8=Parâmetros!$B$3,'Dados da OS'!$D$8=Parâmetros!$B$4),
      IF(OR(AND(V159="INM",AG159&lt;&gt;"VF"),AND(AG159="VF",V159&lt;&gt;"INM")),"",
        IF(AND(V159="INM",AG159="VF"),IF(ISBLANK(AB159),"",AF159*AB159),
        IF('Dados da OS'!$D$8=Parâmetros!$B$4,
           IF(OR(V159="CE",V159="EE"),4,IF(V159="SE",5,IF(V159="ALI",7,IF(V159="AIE",5,"")))),
        IF('Dados da OS'!$D$8=Parâmetros!$B$3,
           IF(OR(ISBLANK(X159),ISBLANK(Z159)),"",
              IF(V159="ALI",IF(AE159="L",7,IF(AE159="A",10,15)),
                 IF(V159="AIE",IF(AE159="L",5,IF(AE159="A",7,10)),
                    IF(V159="SE",IF(AE159="L",4,IF(AE159="A",5,7)),
                       IF(OR(V159="EE",V159="CE"),IF(AE159="L",3,IF(AE159="A",4,6)),""))))))))),
   IF('Dados da OS'!$D$8=Parâmetros!$B$5,
      IF(OR(AND(V159="INM",AG159&lt;&gt;"VF"),AND(AG159="VF",V159&lt;&gt;"INM")),"",
         IF(V159="INM",IF(AG159="VF",AF159*AB159,""),
            IF(V159="PE",4.6,
            IF(V159="AL",7,"")))),
   IF('Dados da OS'!$D$8=Parâmetros!$B$6,
      IF(V159="ALI",35,IF(V159="AIE",15,"")),""))
    )
)</f>
        <v/>
      </c>
      <c r="AJ159" s="82" t="str">
        <f t="shared" si="22"/>
        <v/>
      </c>
      <c r="AK159" s="84"/>
      <c r="AL159" s="85" t="s">
        <v>21</v>
      </c>
      <c r="AM159" s="86"/>
      <c r="AN159" s="85"/>
      <c r="AO159" s="87"/>
      <c r="AP159" s="85"/>
      <c r="AQ159" s="86"/>
      <c r="AR159" s="85"/>
    </row>
    <row r="160" spans="1:44" ht="15.75" customHeight="1">
      <c r="A160" s="54"/>
      <c r="B160" s="100"/>
      <c r="C160" s="55"/>
      <c r="D160" s="55"/>
      <c r="E160" s="56"/>
      <c r="F160" s="55"/>
      <c r="G160" s="56"/>
      <c r="H160" s="55"/>
      <c r="I160" s="64"/>
      <c r="J160" s="57" t="str">
        <f t="shared" si="17"/>
        <v/>
      </c>
      <c r="K160" s="57" t="str">
        <f t="shared" si="18"/>
        <v/>
      </c>
      <c r="L160" s="57" t="str">
        <f xml:space="preserve">
IF(OR('Dados da OS'!$D$8=Parâmetros!$B$3,'Dados da OS'!$D$8=Parâmetros!$B$4),
  IF(OR(ISBLANK(D160),ISBLANK(F160)),
     IF(OR(B160="ALI",B160="AIE"),"L",IF(ISBLANK(B160),"","A")),
     IF(B160="EE",IF(F160&gt;=3,IF(D160&gt;=5,"H","A"),
     IF(F160&gt;=2,IF(D160&gt;=16,"H",IF(D160&lt;=4,"L","A")),IF(D160&lt;=15,"L","A"))),
     IF(OR(B160="SE",B160="CE"),IF(F160&gt;=4,IF(D160&gt;=6,"H","A"),IF(F160&gt;=2,IF(D160&gt;=20,"H",IF(D160&lt;=5,"L","A")),IF(D160&lt;=19,"L","A"))),
     IF(OR(B160="ALI",B160="AIE"),IF(F160&gt;=6,IF(D160&gt;=20,"H","A"),IF(F160&gt;=2,IF(D160&gt;=51,"H",IF(D160&lt;=19,"L","A")),IF(D160&lt;=50,"L","A"))))))),
IF('Dados da OS'!$D$8=Parâmetros!$B$6,"Indicativa",
IF('Dados da OS'!$D$8=Parâmetros!$B$5,"PFS","")))</f>
        <v/>
      </c>
      <c r="M160" s="57">
        <f>IFERROR(VLOOKUP(C160,'Fatores de Impacto e INMs'!$A$3:$D$32,3,0),1)</f>
        <v>1</v>
      </c>
      <c r="N160" s="57">
        <f>IFERROR(VLOOKUP(C160,'Fatores de Impacto e INMs'!$A$3:$E$32,5,0),1)</f>
        <v>1</v>
      </c>
      <c r="O160" s="63" t="str">
        <f xml:space="preserve">
IF(OR('Dados da OS'!$D$8="Selecione o tipo da contagem",ISBLANK('Dados da OS'!$D$8),B160="INM",B160="N/A",ISBLANK(B160),ISBLANK(C160),N160="VF"),"-",
   IF('Dados da OS'!$D$8=Parâmetros!$B$3,
      IF(OR(ISBLANK(D160),ISBLANK(F160)),"-",
         IF(L160="L","Baixa",IF(L160="A","Média",IF(L160="H","Alta","-")))),
      IF('Dados da OS'!$D$8=Parâmetros!$B$4,
         IF(OR(B160="ALI",B160="AIE"),"Baixa",IF(OR(B160="EE",B160="SE",B160="CE"),"Média","-")),
         IF(OR('Dados da OS'!$D$8=Parâmetros!$B$5,'Dados da OS'!$D$8=Parâmetros!$B$6),"-"))))</f>
        <v>-</v>
      </c>
      <c r="P160" s="59" t="str">
        <f xml:space="preserve">
IF(OR(ISBLANK(B160),ISBLANK(C160),B160="N/A",ISBLANK('Dados da OS'!$D$8)),"",
   IF(OR('Dados da OS'!$D$8=Parâmetros!$B$3,'Dados da OS'!$D$8=Parâmetros!$B$4),
      IF(OR(AND(B160="INM",N160&lt;&gt;"VF"),AND(N160="VF",B160&lt;&gt;"INM")),"",
        IF(AND(B160="INM",N160="VF"),IF(ISBLANK(H160),"",M160*H160),
        IF('Dados da OS'!$D$8=Parâmetros!$B$4,
           IF(OR(B160="CE",B160="EE"),4,IF(B160="SE",5,IF(B160="ALI",7,IF(B160="AIE",5,"")))),
        IF('Dados da OS'!$D$8=Parâmetros!$B$3,
           IF(OR(ISBLANK(D160),ISBLANK(F160)),"",
              IF(B160="ALI",IF(L160="L",7,IF(L160="A",10,15)),
                 IF(B160="AIE",IF(L160="L",5,IF(L160="A",7,10)),
                    IF(B160="SE",IF(L160="L",4,IF(L160="A",5,7)),
                       IF(OR(B160="EE",B160="CE"),IF(L160="L",3,IF(L160="A",4,6)),""))))))))),
   IF('Dados da OS'!$D$8=Parâmetros!$B$5,
      IF(OR(AND(B160="INM",N160&lt;&gt;"VF"),AND(N160="VF",B160&lt;&gt;"INM")),"",
         IF(B160="INM",IF(N160="VF",M160*H160,""),
            IF(B160="PE",4.6,
            IF(B160="AL",7,"")))),
   IF('Dados da OS'!$D$8=Parâmetros!$B$6,
      IF(B160="ALI",35,IF(B160="AIE",15,"")),""))
    )
)</f>
        <v/>
      </c>
      <c r="Q160" s="60" t="str">
        <f t="shared" si="19"/>
        <v/>
      </c>
      <c r="R160" s="61"/>
      <c r="S160" s="62"/>
      <c r="T160" s="80" t="s">
        <v>21</v>
      </c>
      <c r="U160" s="81"/>
      <c r="V160" s="99"/>
      <c r="W160" s="55"/>
      <c r="X160" s="55"/>
      <c r="Y160" s="56"/>
      <c r="Z160" s="55"/>
      <c r="AA160" s="56"/>
      <c r="AB160" s="55"/>
      <c r="AC160" s="57" t="str">
        <f t="shared" si="20"/>
        <v/>
      </c>
      <c r="AD160" s="57" t="str">
        <f t="shared" si="21"/>
        <v/>
      </c>
      <c r="AE160" s="57" t="str">
        <f xml:space="preserve">
IF(OR('Dados da OS'!$D$8=Parâmetros!$B$3,'Dados da OS'!$D$8=Parâmetros!$B$4),
  IF(OR(ISBLANK(X160),ISBLANK(Z160)),
     IF(OR(V160="ALI",V160="AIE"),"L",IF(ISBLANK(V160),"","A")),
     IF(V160="EE",IF(Z160&gt;=3,IF(X160&gt;=5,"H","A"),
     IF(Z160&gt;=2,IF(X160&gt;=16,"H",IF(X160&lt;=4,"L","A")),IF(X160&lt;=15,"L","A"))),
     IF(OR(V160="SE",V160="CE"),IF(Z160&gt;=4,IF(X160&gt;=6,"H","A"),IF(Z160&gt;=2,IF(X160&gt;=20,"H",IF(X160&lt;=5,"L","A")),IF(X160&lt;=19,"L","A"))),
     IF(OR(V160="ALI",V160="AIE"),IF(Z160&gt;=6,IF(X160&gt;=20,"H","A"),IF(Z160&gt;=2,IF(X160&gt;=51,"H",IF(X160&lt;=19,"L","A")),IF(X160&lt;=50,"L","A"))))))),
IF('Dados da OS'!$D$8=Parâmetros!$B$6,"Indicativa",
IF('Dados da OS'!$D$8=Parâmetros!$B$5,"PFS","")))</f>
        <v/>
      </c>
      <c r="AF160" s="57">
        <f>IFERROR(VLOOKUP(W160,'Fatores de Impacto e INMs'!$A$3:$D$32,3,0),1)</f>
        <v>1</v>
      </c>
      <c r="AG160" s="57">
        <f>IFERROR(VLOOKUP(W160,'Fatores de Impacto e INMs'!$A$3:$E$32,5,0),1)</f>
        <v>1</v>
      </c>
      <c r="AH160" s="82" t="str">
        <f xml:space="preserve">
IF(OR('Dados da OS'!$D$8="Selecione o tipo da contagem",ISBLANK('Dados da OS'!$D$8),V160="INM",V160="N/A",ISBLANK(V160),ISBLANK(W160),AG160="VF"),"-",
   IF('Dados da OS'!$D$8=Parâmetros!$B$3,
      IF(OR(ISBLANK(X160),ISBLANK(Z160)),"-",
         IF(AE160="L","Baixa",IF(AE160="A","Média",IF(AE160="H","Alta","-")))),
      IF('Dados da OS'!$D$8=Parâmetros!$B$4,
         IF(OR(V160="ALI",V160="AIE"),"Baixa",IF(OR(V160="EE",V160="SE",V160="CE"),"Média","-")),
         IF(OR('Dados da OS'!$D$8=Parâmetros!$B$5,'Dados da OS'!$D$8=Parâmetros!$B$6),"-"))))</f>
        <v>-</v>
      </c>
      <c r="AI160" s="83" t="str">
        <f xml:space="preserve">
IF(OR(ISBLANK(V160),ISBLANK(U160),ISBLANK(W160),V160="N/A",ISBLANK('Dados da OS'!$D$8)),"",
   IF(OR('Dados da OS'!$D$8=Parâmetros!$B$3,'Dados da OS'!$D$8=Parâmetros!$B$4),
      IF(OR(AND(V160="INM",AG160&lt;&gt;"VF"),AND(AG160="VF",V160&lt;&gt;"INM")),"",
        IF(AND(V160="INM",AG160="VF"),IF(ISBLANK(AB160),"",AF160*AB160),
        IF('Dados da OS'!$D$8=Parâmetros!$B$4,
           IF(OR(V160="CE",V160="EE"),4,IF(V160="SE",5,IF(V160="ALI",7,IF(V160="AIE",5,"")))),
        IF('Dados da OS'!$D$8=Parâmetros!$B$3,
           IF(OR(ISBLANK(X160),ISBLANK(Z160)),"",
              IF(V160="ALI",IF(AE160="L",7,IF(AE160="A",10,15)),
                 IF(V160="AIE",IF(AE160="L",5,IF(AE160="A",7,10)),
                    IF(V160="SE",IF(AE160="L",4,IF(AE160="A",5,7)),
                       IF(OR(V160="EE",V160="CE"),IF(AE160="L",3,IF(AE160="A",4,6)),""))))))))),
   IF('Dados da OS'!$D$8=Parâmetros!$B$5,
      IF(OR(AND(V160="INM",AG160&lt;&gt;"VF"),AND(AG160="VF",V160&lt;&gt;"INM")),"",
         IF(V160="INM",IF(AG160="VF",AF160*AB160,""),
            IF(V160="PE",4.6,
            IF(V160="AL",7,"")))),
   IF('Dados da OS'!$D$8=Parâmetros!$B$6,
      IF(V160="ALI",35,IF(V160="AIE",15,"")),""))
    )
)</f>
        <v/>
      </c>
      <c r="AJ160" s="82" t="str">
        <f t="shared" si="22"/>
        <v/>
      </c>
      <c r="AK160" s="84"/>
      <c r="AL160" s="85" t="s">
        <v>21</v>
      </c>
      <c r="AM160" s="86"/>
      <c r="AN160" s="85"/>
      <c r="AO160" s="87"/>
      <c r="AP160" s="85"/>
      <c r="AQ160" s="86"/>
      <c r="AR160" s="85"/>
    </row>
    <row r="161" spans="1:44" ht="15.75" customHeight="1">
      <c r="A161" s="54"/>
      <c r="B161" s="100"/>
      <c r="C161" s="55"/>
      <c r="D161" s="55"/>
      <c r="E161" s="56"/>
      <c r="F161" s="55"/>
      <c r="G161" s="56"/>
      <c r="H161" s="55"/>
      <c r="I161" s="64"/>
      <c r="J161" s="57" t="str">
        <f t="shared" si="17"/>
        <v/>
      </c>
      <c r="K161" s="57" t="str">
        <f t="shared" si="18"/>
        <v/>
      </c>
      <c r="L161" s="57" t="str">
        <f xml:space="preserve">
IF(OR('Dados da OS'!$D$8=Parâmetros!$B$3,'Dados da OS'!$D$8=Parâmetros!$B$4),
  IF(OR(ISBLANK(D161),ISBLANK(F161)),
     IF(OR(B161="ALI",B161="AIE"),"L",IF(ISBLANK(B161),"","A")),
     IF(B161="EE",IF(F161&gt;=3,IF(D161&gt;=5,"H","A"),
     IF(F161&gt;=2,IF(D161&gt;=16,"H",IF(D161&lt;=4,"L","A")),IF(D161&lt;=15,"L","A"))),
     IF(OR(B161="SE",B161="CE"),IF(F161&gt;=4,IF(D161&gt;=6,"H","A"),IF(F161&gt;=2,IF(D161&gt;=20,"H",IF(D161&lt;=5,"L","A")),IF(D161&lt;=19,"L","A"))),
     IF(OR(B161="ALI",B161="AIE"),IF(F161&gt;=6,IF(D161&gt;=20,"H","A"),IF(F161&gt;=2,IF(D161&gt;=51,"H",IF(D161&lt;=19,"L","A")),IF(D161&lt;=50,"L","A"))))))),
IF('Dados da OS'!$D$8=Parâmetros!$B$6,"Indicativa",
IF('Dados da OS'!$D$8=Parâmetros!$B$5,"PFS","")))</f>
        <v/>
      </c>
      <c r="M161" s="57">
        <f>IFERROR(VLOOKUP(C161,'Fatores de Impacto e INMs'!$A$3:$D$32,3,0),1)</f>
        <v>1</v>
      </c>
      <c r="N161" s="57">
        <f>IFERROR(VLOOKUP(C161,'Fatores de Impacto e INMs'!$A$3:$E$32,5,0),1)</f>
        <v>1</v>
      </c>
      <c r="O161" s="63" t="str">
        <f xml:space="preserve">
IF(OR('Dados da OS'!$D$8="Selecione o tipo da contagem",ISBLANK('Dados da OS'!$D$8),B161="INM",B161="N/A",ISBLANK(B161),ISBLANK(C161),N161="VF"),"-",
   IF('Dados da OS'!$D$8=Parâmetros!$B$3,
      IF(OR(ISBLANK(D161),ISBLANK(F161)),"-",
         IF(L161="L","Baixa",IF(L161="A","Média",IF(L161="H","Alta","-")))),
      IF('Dados da OS'!$D$8=Parâmetros!$B$4,
         IF(OR(B161="ALI",B161="AIE"),"Baixa",IF(OR(B161="EE",B161="SE",B161="CE"),"Média","-")),
         IF(OR('Dados da OS'!$D$8=Parâmetros!$B$5,'Dados da OS'!$D$8=Parâmetros!$B$6),"-"))))</f>
        <v>-</v>
      </c>
      <c r="P161" s="59" t="str">
        <f xml:space="preserve">
IF(OR(ISBLANK(B161),ISBLANK(C161),B161="N/A",ISBLANK('Dados da OS'!$D$8)),"",
   IF(OR('Dados da OS'!$D$8=Parâmetros!$B$3,'Dados da OS'!$D$8=Parâmetros!$B$4),
      IF(OR(AND(B161="INM",N161&lt;&gt;"VF"),AND(N161="VF",B161&lt;&gt;"INM")),"",
        IF(AND(B161="INM",N161="VF"),IF(ISBLANK(H161),"",M161*H161),
        IF('Dados da OS'!$D$8=Parâmetros!$B$4,
           IF(OR(B161="CE",B161="EE"),4,IF(B161="SE",5,IF(B161="ALI",7,IF(B161="AIE",5,"")))),
        IF('Dados da OS'!$D$8=Parâmetros!$B$3,
           IF(OR(ISBLANK(D161),ISBLANK(F161)),"",
              IF(B161="ALI",IF(L161="L",7,IF(L161="A",10,15)),
                 IF(B161="AIE",IF(L161="L",5,IF(L161="A",7,10)),
                    IF(B161="SE",IF(L161="L",4,IF(L161="A",5,7)),
                       IF(OR(B161="EE",B161="CE"),IF(L161="L",3,IF(L161="A",4,6)),""))))))))),
   IF('Dados da OS'!$D$8=Parâmetros!$B$5,
      IF(OR(AND(B161="INM",N161&lt;&gt;"VF"),AND(N161="VF",B161&lt;&gt;"INM")),"",
         IF(B161="INM",IF(N161="VF",M161*H161,""),
            IF(B161="PE",4.6,
            IF(B161="AL",7,"")))),
   IF('Dados da OS'!$D$8=Parâmetros!$B$6,
      IF(B161="ALI",35,IF(B161="AIE",15,"")),""))
    )
)</f>
        <v/>
      </c>
      <c r="Q161" s="60" t="str">
        <f t="shared" si="19"/>
        <v/>
      </c>
      <c r="R161" s="61"/>
      <c r="S161" s="62"/>
      <c r="T161" s="80" t="s">
        <v>21</v>
      </c>
      <c r="U161" s="81"/>
      <c r="V161" s="99"/>
      <c r="W161" s="55"/>
      <c r="X161" s="55"/>
      <c r="Y161" s="56"/>
      <c r="Z161" s="55"/>
      <c r="AA161" s="56"/>
      <c r="AB161" s="55"/>
      <c r="AC161" s="57" t="str">
        <f t="shared" si="20"/>
        <v/>
      </c>
      <c r="AD161" s="57" t="str">
        <f t="shared" si="21"/>
        <v/>
      </c>
      <c r="AE161" s="57" t="str">
        <f xml:space="preserve">
IF(OR('Dados da OS'!$D$8=Parâmetros!$B$3,'Dados da OS'!$D$8=Parâmetros!$B$4),
  IF(OR(ISBLANK(X161),ISBLANK(Z161)),
     IF(OR(V161="ALI",V161="AIE"),"L",IF(ISBLANK(V161),"","A")),
     IF(V161="EE",IF(Z161&gt;=3,IF(X161&gt;=5,"H","A"),
     IF(Z161&gt;=2,IF(X161&gt;=16,"H",IF(X161&lt;=4,"L","A")),IF(X161&lt;=15,"L","A"))),
     IF(OR(V161="SE",V161="CE"),IF(Z161&gt;=4,IF(X161&gt;=6,"H","A"),IF(Z161&gt;=2,IF(X161&gt;=20,"H",IF(X161&lt;=5,"L","A")),IF(X161&lt;=19,"L","A"))),
     IF(OR(V161="ALI",V161="AIE"),IF(Z161&gt;=6,IF(X161&gt;=20,"H","A"),IF(Z161&gt;=2,IF(X161&gt;=51,"H",IF(X161&lt;=19,"L","A")),IF(X161&lt;=50,"L","A"))))))),
IF('Dados da OS'!$D$8=Parâmetros!$B$6,"Indicativa",
IF('Dados da OS'!$D$8=Parâmetros!$B$5,"PFS","")))</f>
        <v/>
      </c>
      <c r="AF161" s="57">
        <f>IFERROR(VLOOKUP(W161,'Fatores de Impacto e INMs'!$A$3:$D$32,3,0),1)</f>
        <v>1</v>
      </c>
      <c r="AG161" s="57">
        <f>IFERROR(VLOOKUP(W161,'Fatores de Impacto e INMs'!$A$3:$E$32,5,0),1)</f>
        <v>1</v>
      </c>
      <c r="AH161" s="82" t="str">
        <f xml:space="preserve">
IF(OR('Dados da OS'!$D$8="Selecione o tipo da contagem",ISBLANK('Dados da OS'!$D$8),V161="INM",V161="N/A",ISBLANK(V161),ISBLANK(W161),AG161="VF"),"-",
   IF('Dados da OS'!$D$8=Parâmetros!$B$3,
      IF(OR(ISBLANK(X161),ISBLANK(Z161)),"-",
         IF(AE161="L","Baixa",IF(AE161="A","Média",IF(AE161="H","Alta","-")))),
      IF('Dados da OS'!$D$8=Parâmetros!$B$4,
         IF(OR(V161="ALI",V161="AIE"),"Baixa",IF(OR(V161="EE",V161="SE",V161="CE"),"Média","-")),
         IF(OR('Dados da OS'!$D$8=Parâmetros!$B$5,'Dados da OS'!$D$8=Parâmetros!$B$6),"-"))))</f>
        <v>-</v>
      </c>
      <c r="AI161" s="83" t="str">
        <f xml:space="preserve">
IF(OR(ISBLANK(V161),ISBLANK(U161),ISBLANK(W161),V161="N/A",ISBLANK('Dados da OS'!$D$8)),"",
   IF(OR('Dados da OS'!$D$8=Parâmetros!$B$3,'Dados da OS'!$D$8=Parâmetros!$B$4),
      IF(OR(AND(V161="INM",AG161&lt;&gt;"VF"),AND(AG161="VF",V161&lt;&gt;"INM")),"",
        IF(AND(V161="INM",AG161="VF"),IF(ISBLANK(AB161),"",AF161*AB161),
        IF('Dados da OS'!$D$8=Parâmetros!$B$4,
           IF(OR(V161="CE",V161="EE"),4,IF(V161="SE",5,IF(V161="ALI",7,IF(V161="AIE",5,"")))),
        IF('Dados da OS'!$D$8=Parâmetros!$B$3,
           IF(OR(ISBLANK(X161),ISBLANK(Z161)),"",
              IF(V161="ALI",IF(AE161="L",7,IF(AE161="A",10,15)),
                 IF(V161="AIE",IF(AE161="L",5,IF(AE161="A",7,10)),
                    IF(V161="SE",IF(AE161="L",4,IF(AE161="A",5,7)),
                       IF(OR(V161="EE",V161="CE"),IF(AE161="L",3,IF(AE161="A",4,6)),""))))))))),
   IF('Dados da OS'!$D$8=Parâmetros!$B$5,
      IF(OR(AND(V161="INM",AG161&lt;&gt;"VF"),AND(AG161="VF",V161&lt;&gt;"INM")),"",
         IF(V161="INM",IF(AG161="VF",AF161*AB161,""),
            IF(V161="PE",4.6,
            IF(V161="AL",7,"")))),
   IF('Dados da OS'!$D$8=Parâmetros!$B$6,
      IF(V161="ALI",35,IF(V161="AIE",15,"")),""))
    )
)</f>
        <v/>
      </c>
      <c r="AJ161" s="82" t="str">
        <f t="shared" si="22"/>
        <v/>
      </c>
      <c r="AK161" s="84"/>
      <c r="AL161" s="85" t="s">
        <v>21</v>
      </c>
      <c r="AM161" s="86"/>
      <c r="AN161" s="85"/>
      <c r="AO161" s="87"/>
      <c r="AP161" s="85"/>
      <c r="AQ161" s="86"/>
      <c r="AR161" s="85"/>
    </row>
    <row r="162" spans="1:44" ht="15.75" customHeight="1">
      <c r="A162" s="54"/>
      <c r="B162" s="100"/>
      <c r="C162" s="55"/>
      <c r="D162" s="55"/>
      <c r="E162" s="56"/>
      <c r="F162" s="55"/>
      <c r="G162" s="56"/>
      <c r="H162" s="55"/>
      <c r="I162" s="64"/>
      <c r="J162" s="57" t="str">
        <f t="shared" si="17"/>
        <v/>
      </c>
      <c r="K162" s="57" t="str">
        <f t="shared" si="18"/>
        <v/>
      </c>
      <c r="L162" s="57" t="str">
        <f xml:space="preserve">
IF(OR('Dados da OS'!$D$8=Parâmetros!$B$3,'Dados da OS'!$D$8=Parâmetros!$B$4),
  IF(OR(ISBLANK(D162),ISBLANK(F162)),
     IF(OR(B162="ALI",B162="AIE"),"L",IF(ISBLANK(B162),"","A")),
     IF(B162="EE",IF(F162&gt;=3,IF(D162&gt;=5,"H","A"),
     IF(F162&gt;=2,IF(D162&gt;=16,"H",IF(D162&lt;=4,"L","A")),IF(D162&lt;=15,"L","A"))),
     IF(OR(B162="SE",B162="CE"),IF(F162&gt;=4,IF(D162&gt;=6,"H","A"),IF(F162&gt;=2,IF(D162&gt;=20,"H",IF(D162&lt;=5,"L","A")),IF(D162&lt;=19,"L","A"))),
     IF(OR(B162="ALI",B162="AIE"),IF(F162&gt;=6,IF(D162&gt;=20,"H","A"),IF(F162&gt;=2,IF(D162&gt;=51,"H",IF(D162&lt;=19,"L","A")),IF(D162&lt;=50,"L","A"))))))),
IF('Dados da OS'!$D$8=Parâmetros!$B$6,"Indicativa",
IF('Dados da OS'!$D$8=Parâmetros!$B$5,"PFS","")))</f>
        <v/>
      </c>
      <c r="M162" s="57">
        <f>IFERROR(VLOOKUP(C162,'Fatores de Impacto e INMs'!$A$3:$D$32,3,0),1)</f>
        <v>1</v>
      </c>
      <c r="N162" s="57">
        <f>IFERROR(VLOOKUP(C162,'Fatores de Impacto e INMs'!$A$3:$E$32,5,0),1)</f>
        <v>1</v>
      </c>
      <c r="O162" s="63" t="str">
        <f xml:space="preserve">
IF(OR('Dados da OS'!$D$8="Selecione o tipo da contagem",ISBLANK('Dados da OS'!$D$8),B162="INM",B162="N/A",ISBLANK(B162),ISBLANK(C162),N162="VF"),"-",
   IF('Dados da OS'!$D$8=Parâmetros!$B$3,
      IF(OR(ISBLANK(D162),ISBLANK(F162)),"-",
         IF(L162="L","Baixa",IF(L162="A","Média",IF(L162="H","Alta","-")))),
      IF('Dados da OS'!$D$8=Parâmetros!$B$4,
         IF(OR(B162="ALI",B162="AIE"),"Baixa",IF(OR(B162="EE",B162="SE",B162="CE"),"Média","-")),
         IF(OR('Dados da OS'!$D$8=Parâmetros!$B$5,'Dados da OS'!$D$8=Parâmetros!$B$6),"-"))))</f>
        <v>-</v>
      </c>
      <c r="P162" s="59" t="str">
        <f xml:space="preserve">
IF(OR(ISBLANK(B162),ISBLANK(C162),B162="N/A",ISBLANK('Dados da OS'!$D$8)),"",
   IF(OR('Dados da OS'!$D$8=Parâmetros!$B$3,'Dados da OS'!$D$8=Parâmetros!$B$4),
      IF(OR(AND(B162="INM",N162&lt;&gt;"VF"),AND(N162="VF",B162&lt;&gt;"INM")),"",
        IF(AND(B162="INM",N162="VF"),IF(ISBLANK(H162),"",M162*H162),
        IF('Dados da OS'!$D$8=Parâmetros!$B$4,
           IF(OR(B162="CE",B162="EE"),4,IF(B162="SE",5,IF(B162="ALI",7,IF(B162="AIE",5,"")))),
        IF('Dados da OS'!$D$8=Parâmetros!$B$3,
           IF(OR(ISBLANK(D162),ISBLANK(F162)),"",
              IF(B162="ALI",IF(L162="L",7,IF(L162="A",10,15)),
                 IF(B162="AIE",IF(L162="L",5,IF(L162="A",7,10)),
                    IF(B162="SE",IF(L162="L",4,IF(L162="A",5,7)),
                       IF(OR(B162="EE",B162="CE"),IF(L162="L",3,IF(L162="A",4,6)),""))))))))),
   IF('Dados da OS'!$D$8=Parâmetros!$B$5,
      IF(OR(AND(B162="INM",N162&lt;&gt;"VF"),AND(N162="VF",B162&lt;&gt;"INM")),"",
         IF(B162="INM",IF(N162="VF",M162*H162,""),
            IF(B162="PE",4.6,
            IF(B162="AL",7,"")))),
   IF('Dados da OS'!$D$8=Parâmetros!$B$6,
      IF(B162="ALI",35,IF(B162="AIE",15,"")),""))
    )
)</f>
        <v/>
      </c>
      <c r="Q162" s="60" t="str">
        <f t="shared" si="19"/>
        <v/>
      </c>
      <c r="R162" s="61"/>
      <c r="S162" s="62"/>
      <c r="T162" s="80" t="s">
        <v>21</v>
      </c>
      <c r="U162" s="81"/>
      <c r="V162" s="99"/>
      <c r="W162" s="55"/>
      <c r="X162" s="55"/>
      <c r="Y162" s="56"/>
      <c r="Z162" s="55"/>
      <c r="AA162" s="56"/>
      <c r="AB162" s="55"/>
      <c r="AC162" s="57" t="str">
        <f t="shared" si="20"/>
        <v/>
      </c>
      <c r="AD162" s="57" t="str">
        <f t="shared" si="21"/>
        <v/>
      </c>
      <c r="AE162" s="57" t="str">
        <f xml:space="preserve">
IF(OR('Dados da OS'!$D$8=Parâmetros!$B$3,'Dados da OS'!$D$8=Parâmetros!$B$4),
  IF(OR(ISBLANK(X162),ISBLANK(Z162)),
     IF(OR(V162="ALI",V162="AIE"),"L",IF(ISBLANK(V162),"","A")),
     IF(V162="EE",IF(Z162&gt;=3,IF(X162&gt;=5,"H","A"),
     IF(Z162&gt;=2,IF(X162&gt;=16,"H",IF(X162&lt;=4,"L","A")),IF(X162&lt;=15,"L","A"))),
     IF(OR(V162="SE",V162="CE"),IF(Z162&gt;=4,IF(X162&gt;=6,"H","A"),IF(Z162&gt;=2,IF(X162&gt;=20,"H",IF(X162&lt;=5,"L","A")),IF(X162&lt;=19,"L","A"))),
     IF(OR(V162="ALI",V162="AIE"),IF(Z162&gt;=6,IF(X162&gt;=20,"H","A"),IF(Z162&gt;=2,IF(X162&gt;=51,"H",IF(X162&lt;=19,"L","A")),IF(X162&lt;=50,"L","A"))))))),
IF('Dados da OS'!$D$8=Parâmetros!$B$6,"Indicativa",
IF('Dados da OS'!$D$8=Parâmetros!$B$5,"PFS","")))</f>
        <v/>
      </c>
      <c r="AF162" s="57">
        <f>IFERROR(VLOOKUP(W162,'Fatores de Impacto e INMs'!$A$3:$D$32,3,0),1)</f>
        <v>1</v>
      </c>
      <c r="AG162" s="57">
        <f>IFERROR(VLOOKUP(W162,'Fatores de Impacto e INMs'!$A$3:$E$32,5,0),1)</f>
        <v>1</v>
      </c>
      <c r="AH162" s="82" t="str">
        <f xml:space="preserve">
IF(OR('Dados da OS'!$D$8="Selecione o tipo da contagem",ISBLANK('Dados da OS'!$D$8),V162="INM",V162="N/A",ISBLANK(V162),ISBLANK(W162),AG162="VF"),"-",
   IF('Dados da OS'!$D$8=Parâmetros!$B$3,
      IF(OR(ISBLANK(X162),ISBLANK(Z162)),"-",
         IF(AE162="L","Baixa",IF(AE162="A","Média",IF(AE162="H","Alta","-")))),
      IF('Dados da OS'!$D$8=Parâmetros!$B$4,
         IF(OR(V162="ALI",V162="AIE"),"Baixa",IF(OR(V162="EE",V162="SE",V162="CE"),"Média","-")),
         IF(OR('Dados da OS'!$D$8=Parâmetros!$B$5,'Dados da OS'!$D$8=Parâmetros!$B$6),"-"))))</f>
        <v>-</v>
      </c>
      <c r="AI162" s="83" t="str">
        <f xml:space="preserve">
IF(OR(ISBLANK(V162),ISBLANK(U162),ISBLANK(W162),V162="N/A",ISBLANK('Dados da OS'!$D$8)),"",
   IF(OR('Dados da OS'!$D$8=Parâmetros!$B$3,'Dados da OS'!$D$8=Parâmetros!$B$4),
      IF(OR(AND(V162="INM",AG162&lt;&gt;"VF"),AND(AG162="VF",V162&lt;&gt;"INM")),"",
        IF(AND(V162="INM",AG162="VF"),IF(ISBLANK(AB162),"",AF162*AB162),
        IF('Dados da OS'!$D$8=Parâmetros!$B$4,
           IF(OR(V162="CE",V162="EE"),4,IF(V162="SE",5,IF(V162="ALI",7,IF(V162="AIE",5,"")))),
        IF('Dados da OS'!$D$8=Parâmetros!$B$3,
           IF(OR(ISBLANK(X162),ISBLANK(Z162)),"",
              IF(V162="ALI",IF(AE162="L",7,IF(AE162="A",10,15)),
                 IF(V162="AIE",IF(AE162="L",5,IF(AE162="A",7,10)),
                    IF(V162="SE",IF(AE162="L",4,IF(AE162="A",5,7)),
                       IF(OR(V162="EE",V162="CE"),IF(AE162="L",3,IF(AE162="A",4,6)),""))))))))),
   IF('Dados da OS'!$D$8=Parâmetros!$B$5,
      IF(OR(AND(V162="INM",AG162&lt;&gt;"VF"),AND(AG162="VF",V162&lt;&gt;"INM")),"",
         IF(V162="INM",IF(AG162="VF",AF162*AB162,""),
            IF(V162="PE",4.6,
            IF(V162="AL",7,"")))),
   IF('Dados da OS'!$D$8=Parâmetros!$B$6,
      IF(V162="ALI",35,IF(V162="AIE",15,"")),""))
    )
)</f>
        <v/>
      </c>
      <c r="AJ162" s="82" t="str">
        <f t="shared" si="22"/>
        <v/>
      </c>
      <c r="AK162" s="84"/>
      <c r="AL162" s="85" t="s">
        <v>21</v>
      </c>
      <c r="AM162" s="86"/>
      <c r="AN162" s="85"/>
      <c r="AO162" s="87"/>
      <c r="AP162" s="85"/>
      <c r="AQ162" s="86"/>
      <c r="AR162" s="85"/>
    </row>
    <row r="163" spans="1:44" ht="15.75" customHeight="1">
      <c r="A163" s="54"/>
      <c r="B163" s="100"/>
      <c r="C163" s="55"/>
      <c r="D163" s="55"/>
      <c r="E163" s="56"/>
      <c r="F163" s="55"/>
      <c r="G163" s="56"/>
      <c r="H163" s="55"/>
      <c r="I163" s="64"/>
      <c r="J163" s="57" t="str">
        <f t="shared" si="17"/>
        <v/>
      </c>
      <c r="K163" s="57" t="str">
        <f t="shared" si="18"/>
        <v/>
      </c>
      <c r="L163" s="57" t="str">
        <f xml:space="preserve">
IF(OR('Dados da OS'!$D$8=Parâmetros!$B$3,'Dados da OS'!$D$8=Parâmetros!$B$4),
  IF(OR(ISBLANK(D163),ISBLANK(F163)),
     IF(OR(B163="ALI",B163="AIE"),"L",IF(ISBLANK(B163),"","A")),
     IF(B163="EE",IF(F163&gt;=3,IF(D163&gt;=5,"H","A"),
     IF(F163&gt;=2,IF(D163&gt;=16,"H",IF(D163&lt;=4,"L","A")),IF(D163&lt;=15,"L","A"))),
     IF(OR(B163="SE",B163="CE"),IF(F163&gt;=4,IF(D163&gt;=6,"H","A"),IF(F163&gt;=2,IF(D163&gt;=20,"H",IF(D163&lt;=5,"L","A")),IF(D163&lt;=19,"L","A"))),
     IF(OR(B163="ALI",B163="AIE"),IF(F163&gt;=6,IF(D163&gt;=20,"H","A"),IF(F163&gt;=2,IF(D163&gt;=51,"H",IF(D163&lt;=19,"L","A")),IF(D163&lt;=50,"L","A"))))))),
IF('Dados da OS'!$D$8=Parâmetros!$B$6,"Indicativa",
IF('Dados da OS'!$D$8=Parâmetros!$B$5,"PFS","")))</f>
        <v/>
      </c>
      <c r="M163" s="57">
        <f>IFERROR(VLOOKUP(C163,'Fatores de Impacto e INMs'!$A$3:$D$32,3,0),1)</f>
        <v>1</v>
      </c>
      <c r="N163" s="57">
        <f>IFERROR(VLOOKUP(C163,'Fatores de Impacto e INMs'!$A$3:$E$32,5,0),1)</f>
        <v>1</v>
      </c>
      <c r="O163" s="63" t="str">
        <f xml:space="preserve">
IF(OR('Dados da OS'!$D$8="Selecione o tipo da contagem",ISBLANK('Dados da OS'!$D$8),B163="INM",B163="N/A",ISBLANK(B163),ISBLANK(C163),N163="VF"),"-",
   IF('Dados da OS'!$D$8=Parâmetros!$B$3,
      IF(OR(ISBLANK(D163),ISBLANK(F163)),"-",
         IF(L163="L","Baixa",IF(L163="A","Média",IF(L163="H","Alta","-")))),
      IF('Dados da OS'!$D$8=Parâmetros!$B$4,
         IF(OR(B163="ALI",B163="AIE"),"Baixa",IF(OR(B163="EE",B163="SE",B163="CE"),"Média","-")),
         IF(OR('Dados da OS'!$D$8=Parâmetros!$B$5,'Dados da OS'!$D$8=Parâmetros!$B$6),"-"))))</f>
        <v>-</v>
      </c>
      <c r="P163" s="59" t="str">
        <f xml:space="preserve">
IF(OR(ISBLANK(B163),ISBLANK(C163),B163="N/A",ISBLANK('Dados da OS'!$D$8)),"",
   IF(OR('Dados da OS'!$D$8=Parâmetros!$B$3,'Dados da OS'!$D$8=Parâmetros!$B$4),
      IF(OR(AND(B163="INM",N163&lt;&gt;"VF"),AND(N163="VF",B163&lt;&gt;"INM")),"",
        IF(AND(B163="INM",N163="VF"),IF(ISBLANK(H163),"",M163*H163),
        IF('Dados da OS'!$D$8=Parâmetros!$B$4,
           IF(OR(B163="CE",B163="EE"),4,IF(B163="SE",5,IF(B163="ALI",7,IF(B163="AIE",5,"")))),
        IF('Dados da OS'!$D$8=Parâmetros!$B$3,
           IF(OR(ISBLANK(D163),ISBLANK(F163)),"",
              IF(B163="ALI",IF(L163="L",7,IF(L163="A",10,15)),
                 IF(B163="AIE",IF(L163="L",5,IF(L163="A",7,10)),
                    IF(B163="SE",IF(L163="L",4,IF(L163="A",5,7)),
                       IF(OR(B163="EE",B163="CE"),IF(L163="L",3,IF(L163="A",4,6)),""))))))))),
   IF('Dados da OS'!$D$8=Parâmetros!$B$5,
      IF(OR(AND(B163="INM",N163&lt;&gt;"VF"),AND(N163="VF",B163&lt;&gt;"INM")),"",
         IF(B163="INM",IF(N163="VF",M163*H163,""),
            IF(B163="PE",4.6,
            IF(B163="AL",7,"")))),
   IF('Dados da OS'!$D$8=Parâmetros!$B$6,
      IF(B163="ALI",35,IF(B163="AIE",15,"")),""))
    )
)</f>
        <v/>
      </c>
      <c r="Q163" s="60" t="str">
        <f t="shared" si="19"/>
        <v/>
      </c>
      <c r="R163" s="61"/>
      <c r="S163" s="62"/>
      <c r="T163" s="80" t="s">
        <v>21</v>
      </c>
      <c r="U163" s="81"/>
      <c r="V163" s="99"/>
      <c r="W163" s="55"/>
      <c r="X163" s="55"/>
      <c r="Y163" s="56"/>
      <c r="Z163" s="55"/>
      <c r="AA163" s="56"/>
      <c r="AB163" s="55"/>
      <c r="AC163" s="57" t="str">
        <f t="shared" si="20"/>
        <v/>
      </c>
      <c r="AD163" s="57" t="str">
        <f t="shared" si="21"/>
        <v/>
      </c>
      <c r="AE163" s="57" t="str">
        <f xml:space="preserve">
IF(OR('Dados da OS'!$D$8=Parâmetros!$B$3,'Dados da OS'!$D$8=Parâmetros!$B$4),
  IF(OR(ISBLANK(X163),ISBLANK(Z163)),
     IF(OR(V163="ALI",V163="AIE"),"L",IF(ISBLANK(V163),"","A")),
     IF(V163="EE",IF(Z163&gt;=3,IF(X163&gt;=5,"H","A"),
     IF(Z163&gt;=2,IF(X163&gt;=16,"H",IF(X163&lt;=4,"L","A")),IF(X163&lt;=15,"L","A"))),
     IF(OR(V163="SE",V163="CE"),IF(Z163&gt;=4,IF(X163&gt;=6,"H","A"),IF(Z163&gt;=2,IF(X163&gt;=20,"H",IF(X163&lt;=5,"L","A")),IF(X163&lt;=19,"L","A"))),
     IF(OR(V163="ALI",V163="AIE"),IF(Z163&gt;=6,IF(X163&gt;=20,"H","A"),IF(Z163&gt;=2,IF(X163&gt;=51,"H",IF(X163&lt;=19,"L","A")),IF(X163&lt;=50,"L","A"))))))),
IF('Dados da OS'!$D$8=Parâmetros!$B$6,"Indicativa",
IF('Dados da OS'!$D$8=Parâmetros!$B$5,"PFS","")))</f>
        <v/>
      </c>
      <c r="AF163" s="57">
        <f>IFERROR(VLOOKUP(W163,'Fatores de Impacto e INMs'!$A$3:$D$32,3,0),1)</f>
        <v>1</v>
      </c>
      <c r="AG163" s="57">
        <f>IFERROR(VLOOKUP(W163,'Fatores de Impacto e INMs'!$A$3:$E$32,5,0),1)</f>
        <v>1</v>
      </c>
      <c r="AH163" s="82" t="str">
        <f xml:space="preserve">
IF(OR('Dados da OS'!$D$8="Selecione o tipo da contagem",ISBLANK('Dados da OS'!$D$8),V163="INM",V163="N/A",ISBLANK(V163),ISBLANK(W163),AG163="VF"),"-",
   IF('Dados da OS'!$D$8=Parâmetros!$B$3,
      IF(OR(ISBLANK(X163),ISBLANK(Z163)),"-",
         IF(AE163="L","Baixa",IF(AE163="A","Média",IF(AE163="H","Alta","-")))),
      IF('Dados da OS'!$D$8=Parâmetros!$B$4,
         IF(OR(V163="ALI",V163="AIE"),"Baixa",IF(OR(V163="EE",V163="SE",V163="CE"),"Média","-")),
         IF(OR('Dados da OS'!$D$8=Parâmetros!$B$5,'Dados da OS'!$D$8=Parâmetros!$B$6),"-"))))</f>
        <v>-</v>
      </c>
      <c r="AI163" s="83" t="str">
        <f xml:space="preserve">
IF(OR(ISBLANK(V163),ISBLANK(U163),ISBLANK(W163),V163="N/A",ISBLANK('Dados da OS'!$D$8)),"",
   IF(OR('Dados da OS'!$D$8=Parâmetros!$B$3,'Dados da OS'!$D$8=Parâmetros!$B$4),
      IF(OR(AND(V163="INM",AG163&lt;&gt;"VF"),AND(AG163="VF",V163&lt;&gt;"INM")),"",
        IF(AND(V163="INM",AG163="VF"),IF(ISBLANK(AB163),"",AF163*AB163),
        IF('Dados da OS'!$D$8=Parâmetros!$B$4,
           IF(OR(V163="CE",V163="EE"),4,IF(V163="SE",5,IF(V163="ALI",7,IF(V163="AIE",5,"")))),
        IF('Dados da OS'!$D$8=Parâmetros!$B$3,
           IF(OR(ISBLANK(X163),ISBLANK(Z163)),"",
              IF(V163="ALI",IF(AE163="L",7,IF(AE163="A",10,15)),
                 IF(V163="AIE",IF(AE163="L",5,IF(AE163="A",7,10)),
                    IF(V163="SE",IF(AE163="L",4,IF(AE163="A",5,7)),
                       IF(OR(V163="EE",V163="CE"),IF(AE163="L",3,IF(AE163="A",4,6)),""))))))))),
   IF('Dados da OS'!$D$8=Parâmetros!$B$5,
      IF(OR(AND(V163="INM",AG163&lt;&gt;"VF"),AND(AG163="VF",V163&lt;&gt;"INM")),"",
         IF(V163="INM",IF(AG163="VF",AF163*AB163,""),
            IF(V163="PE",4.6,
            IF(V163="AL",7,"")))),
   IF('Dados da OS'!$D$8=Parâmetros!$B$6,
      IF(V163="ALI",35,IF(V163="AIE",15,"")),""))
    )
)</f>
        <v/>
      </c>
      <c r="AJ163" s="82" t="str">
        <f t="shared" si="22"/>
        <v/>
      </c>
      <c r="AK163" s="84"/>
      <c r="AL163" s="85" t="s">
        <v>21</v>
      </c>
      <c r="AM163" s="86"/>
      <c r="AN163" s="85"/>
      <c r="AO163" s="87"/>
      <c r="AP163" s="85"/>
      <c r="AQ163" s="86"/>
      <c r="AR163" s="85"/>
    </row>
    <row r="164" spans="1:44" ht="15.75" customHeight="1">
      <c r="A164" s="54"/>
      <c r="B164" s="100"/>
      <c r="C164" s="55"/>
      <c r="D164" s="55"/>
      <c r="E164" s="56"/>
      <c r="F164" s="55"/>
      <c r="G164" s="56"/>
      <c r="H164" s="55"/>
      <c r="I164" s="64"/>
      <c r="J164" s="57" t="str">
        <f t="shared" si="17"/>
        <v/>
      </c>
      <c r="K164" s="57" t="str">
        <f t="shared" si="18"/>
        <v/>
      </c>
      <c r="L164" s="57" t="str">
        <f xml:space="preserve">
IF(OR('Dados da OS'!$D$8=Parâmetros!$B$3,'Dados da OS'!$D$8=Parâmetros!$B$4),
  IF(OR(ISBLANK(D164),ISBLANK(F164)),
     IF(OR(B164="ALI",B164="AIE"),"L",IF(ISBLANK(B164),"","A")),
     IF(B164="EE",IF(F164&gt;=3,IF(D164&gt;=5,"H","A"),
     IF(F164&gt;=2,IF(D164&gt;=16,"H",IF(D164&lt;=4,"L","A")),IF(D164&lt;=15,"L","A"))),
     IF(OR(B164="SE",B164="CE"),IF(F164&gt;=4,IF(D164&gt;=6,"H","A"),IF(F164&gt;=2,IF(D164&gt;=20,"H",IF(D164&lt;=5,"L","A")),IF(D164&lt;=19,"L","A"))),
     IF(OR(B164="ALI",B164="AIE"),IF(F164&gt;=6,IF(D164&gt;=20,"H","A"),IF(F164&gt;=2,IF(D164&gt;=51,"H",IF(D164&lt;=19,"L","A")),IF(D164&lt;=50,"L","A"))))))),
IF('Dados da OS'!$D$8=Parâmetros!$B$6,"Indicativa",
IF('Dados da OS'!$D$8=Parâmetros!$B$5,"PFS","")))</f>
        <v/>
      </c>
      <c r="M164" s="57">
        <f>IFERROR(VLOOKUP(C164,'Fatores de Impacto e INMs'!$A$3:$D$32,3,0),1)</f>
        <v>1</v>
      </c>
      <c r="N164" s="57">
        <f>IFERROR(VLOOKUP(C164,'Fatores de Impacto e INMs'!$A$3:$E$32,5,0),1)</f>
        <v>1</v>
      </c>
      <c r="O164" s="63" t="str">
        <f xml:space="preserve">
IF(OR('Dados da OS'!$D$8="Selecione o tipo da contagem",ISBLANK('Dados da OS'!$D$8),B164="INM",B164="N/A",ISBLANK(B164),ISBLANK(C164),N164="VF"),"-",
   IF('Dados da OS'!$D$8=Parâmetros!$B$3,
      IF(OR(ISBLANK(D164),ISBLANK(F164)),"-",
         IF(L164="L","Baixa",IF(L164="A","Média",IF(L164="H","Alta","-")))),
      IF('Dados da OS'!$D$8=Parâmetros!$B$4,
         IF(OR(B164="ALI",B164="AIE"),"Baixa",IF(OR(B164="EE",B164="SE",B164="CE"),"Média","-")),
         IF(OR('Dados da OS'!$D$8=Parâmetros!$B$5,'Dados da OS'!$D$8=Parâmetros!$B$6),"-"))))</f>
        <v>-</v>
      </c>
      <c r="P164" s="59" t="str">
        <f xml:space="preserve">
IF(OR(ISBLANK(B164),ISBLANK(C164),B164="N/A",ISBLANK('Dados da OS'!$D$8)),"",
   IF(OR('Dados da OS'!$D$8=Parâmetros!$B$3,'Dados da OS'!$D$8=Parâmetros!$B$4),
      IF(OR(AND(B164="INM",N164&lt;&gt;"VF"),AND(N164="VF",B164&lt;&gt;"INM")),"",
        IF(AND(B164="INM",N164="VF"),IF(ISBLANK(H164),"",M164*H164),
        IF('Dados da OS'!$D$8=Parâmetros!$B$4,
           IF(OR(B164="CE",B164="EE"),4,IF(B164="SE",5,IF(B164="ALI",7,IF(B164="AIE",5,"")))),
        IF('Dados da OS'!$D$8=Parâmetros!$B$3,
           IF(OR(ISBLANK(D164),ISBLANK(F164)),"",
              IF(B164="ALI",IF(L164="L",7,IF(L164="A",10,15)),
                 IF(B164="AIE",IF(L164="L",5,IF(L164="A",7,10)),
                    IF(B164="SE",IF(L164="L",4,IF(L164="A",5,7)),
                       IF(OR(B164="EE",B164="CE"),IF(L164="L",3,IF(L164="A",4,6)),""))))))))),
   IF('Dados da OS'!$D$8=Parâmetros!$B$5,
      IF(OR(AND(B164="INM",N164&lt;&gt;"VF"),AND(N164="VF",B164&lt;&gt;"INM")),"",
         IF(B164="INM",IF(N164="VF",M164*H164,""),
            IF(B164="PE",4.6,
            IF(B164="AL",7,"")))),
   IF('Dados da OS'!$D$8=Parâmetros!$B$6,
      IF(B164="ALI",35,IF(B164="AIE",15,"")),""))
    )
)</f>
        <v/>
      </c>
      <c r="Q164" s="60" t="str">
        <f t="shared" si="19"/>
        <v/>
      </c>
      <c r="R164" s="61"/>
      <c r="S164" s="62"/>
      <c r="T164" s="80" t="s">
        <v>21</v>
      </c>
      <c r="U164" s="81"/>
      <c r="V164" s="99"/>
      <c r="W164" s="55"/>
      <c r="X164" s="55"/>
      <c r="Y164" s="56"/>
      <c r="Z164" s="55"/>
      <c r="AA164" s="56"/>
      <c r="AB164" s="55"/>
      <c r="AC164" s="57" t="str">
        <f t="shared" si="20"/>
        <v/>
      </c>
      <c r="AD164" s="57" t="str">
        <f t="shared" si="21"/>
        <v/>
      </c>
      <c r="AE164" s="57" t="str">
        <f xml:space="preserve">
IF(OR('Dados da OS'!$D$8=Parâmetros!$B$3,'Dados da OS'!$D$8=Parâmetros!$B$4),
  IF(OR(ISBLANK(X164),ISBLANK(Z164)),
     IF(OR(V164="ALI",V164="AIE"),"L",IF(ISBLANK(V164),"","A")),
     IF(V164="EE",IF(Z164&gt;=3,IF(X164&gt;=5,"H","A"),
     IF(Z164&gt;=2,IF(X164&gt;=16,"H",IF(X164&lt;=4,"L","A")),IF(X164&lt;=15,"L","A"))),
     IF(OR(V164="SE",V164="CE"),IF(Z164&gt;=4,IF(X164&gt;=6,"H","A"),IF(Z164&gt;=2,IF(X164&gt;=20,"H",IF(X164&lt;=5,"L","A")),IF(X164&lt;=19,"L","A"))),
     IF(OR(V164="ALI",V164="AIE"),IF(Z164&gt;=6,IF(X164&gt;=20,"H","A"),IF(Z164&gt;=2,IF(X164&gt;=51,"H",IF(X164&lt;=19,"L","A")),IF(X164&lt;=50,"L","A"))))))),
IF('Dados da OS'!$D$8=Parâmetros!$B$6,"Indicativa",
IF('Dados da OS'!$D$8=Parâmetros!$B$5,"PFS","")))</f>
        <v/>
      </c>
      <c r="AF164" s="57">
        <f>IFERROR(VLOOKUP(W164,'Fatores de Impacto e INMs'!$A$3:$D$32,3,0),1)</f>
        <v>1</v>
      </c>
      <c r="AG164" s="57">
        <f>IFERROR(VLOOKUP(W164,'Fatores de Impacto e INMs'!$A$3:$E$32,5,0),1)</f>
        <v>1</v>
      </c>
      <c r="AH164" s="82" t="str">
        <f xml:space="preserve">
IF(OR('Dados da OS'!$D$8="Selecione o tipo da contagem",ISBLANK('Dados da OS'!$D$8),V164="INM",V164="N/A",ISBLANK(V164),ISBLANK(W164),AG164="VF"),"-",
   IF('Dados da OS'!$D$8=Parâmetros!$B$3,
      IF(OR(ISBLANK(X164),ISBLANK(Z164)),"-",
         IF(AE164="L","Baixa",IF(AE164="A","Média",IF(AE164="H","Alta","-")))),
      IF('Dados da OS'!$D$8=Parâmetros!$B$4,
         IF(OR(V164="ALI",V164="AIE"),"Baixa",IF(OR(V164="EE",V164="SE",V164="CE"),"Média","-")),
         IF(OR('Dados da OS'!$D$8=Parâmetros!$B$5,'Dados da OS'!$D$8=Parâmetros!$B$6),"-"))))</f>
        <v>-</v>
      </c>
      <c r="AI164" s="83" t="str">
        <f xml:space="preserve">
IF(OR(ISBLANK(V164),ISBLANK(U164),ISBLANK(W164),V164="N/A",ISBLANK('Dados da OS'!$D$8)),"",
   IF(OR('Dados da OS'!$D$8=Parâmetros!$B$3,'Dados da OS'!$D$8=Parâmetros!$B$4),
      IF(OR(AND(V164="INM",AG164&lt;&gt;"VF"),AND(AG164="VF",V164&lt;&gt;"INM")),"",
        IF(AND(V164="INM",AG164="VF"),IF(ISBLANK(AB164),"",AF164*AB164),
        IF('Dados da OS'!$D$8=Parâmetros!$B$4,
           IF(OR(V164="CE",V164="EE"),4,IF(V164="SE",5,IF(V164="ALI",7,IF(V164="AIE",5,"")))),
        IF('Dados da OS'!$D$8=Parâmetros!$B$3,
           IF(OR(ISBLANK(X164),ISBLANK(Z164)),"",
              IF(V164="ALI",IF(AE164="L",7,IF(AE164="A",10,15)),
                 IF(V164="AIE",IF(AE164="L",5,IF(AE164="A",7,10)),
                    IF(V164="SE",IF(AE164="L",4,IF(AE164="A",5,7)),
                       IF(OR(V164="EE",V164="CE"),IF(AE164="L",3,IF(AE164="A",4,6)),""))))))))),
   IF('Dados da OS'!$D$8=Parâmetros!$B$5,
      IF(OR(AND(V164="INM",AG164&lt;&gt;"VF"),AND(AG164="VF",V164&lt;&gt;"INM")),"",
         IF(V164="INM",IF(AG164="VF",AF164*AB164,""),
            IF(V164="PE",4.6,
            IF(V164="AL",7,"")))),
   IF('Dados da OS'!$D$8=Parâmetros!$B$6,
      IF(V164="ALI",35,IF(V164="AIE",15,"")),""))
    )
)</f>
        <v/>
      </c>
      <c r="AJ164" s="82" t="str">
        <f t="shared" si="22"/>
        <v/>
      </c>
      <c r="AK164" s="84"/>
      <c r="AL164" s="85" t="s">
        <v>21</v>
      </c>
      <c r="AM164" s="86"/>
      <c r="AN164" s="85"/>
      <c r="AO164" s="87"/>
      <c r="AP164" s="85"/>
      <c r="AQ164" s="86"/>
      <c r="AR164" s="85"/>
    </row>
    <row r="165" spans="1:44" ht="15.75" customHeight="1">
      <c r="A165" s="54"/>
      <c r="B165" s="100"/>
      <c r="C165" s="55"/>
      <c r="D165" s="55"/>
      <c r="E165" s="56"/>
      <c r="F165" s="55"/>
      <c r="G165" s="56"/>
      <c r="H165" s="55"/>
      <c r="I165" s="64"/>
      <c r="J165" s="57" t="str">
        <f t="shared" si="17"/>
        <v/>
      </c>
      <c r="K165" s="57" t="str">
        <f t="shared" si="18"/>
        <v/>
      </c>
      <c r="L165" s="57" t="str">
        <f xml:space="preserve">
IF(OR('Dados da OS'!$D$8=Parâmetros!$B$3,'Dados da OS'!$D$8=Parâmetros!$B$4),
  IF(OR(ISBLANK(D165),ISBLANK(F165)),
     IF(OR(B165="ALI",B165="AIE"),"L",IF(ISBLANK(B165),"","A")),
     IF(B165="EE",IF(F165&gt;=3,IF(D165&gt;=5,"H","A"),
     IF(F165&gt;=2,IF(D165&gt;=16,"H",IF(D165&lt;=4,"L","A")),IF(D165&lt;=15,"L","A"))),
     IF(OR(B165="SE",B165="CE"),IF(F165&gt;=4,IF(D165&gt;=6,"H","A"),IF(F165&gt;=2,IF(D165&gt;=20,"H",IF(D165&lt;=5,"L","A")),IF(D165&lt;=19,"L","A"))),
     IF(OR(B165="ALI",B165="AIE"),IF(F165&gt;=6,IF(D165&gt;=20,"H","A"),IF(F165&gt;=2,IF(D165&gt;=51,"H",IF(D165&lt;=19,"L","A")),IF(D165&lt;=50,"L","A"))))))),
IF('Dados da OS'!$D$8=Parâmetros!$B$6,"Indicativa",
IF('Dados da OS'!$D$8=Parâmetros!$B$5,"PFS","")))</f>
        <v/>
      </c>
      <c r="M165" s="57">
        <f>IFERROR(VLOOKUP(C165,'Fatores de Impacto e INMs'!$A$3:$D$32,3,0),1)</f>
        <v>1</v>
      </c>
      <c r="N165" s="57">
        <f>IFERROR(VLOOKUP(C165,'Fatores de Impacto e INMs'!$A$3:$E$32,5,0),1)</f>
        <v>1</v>
      </c>
      <c r="O165" s="63" t="str">
        <f xml:space="preserve">
IF(OR('Dados da OS'!$D$8="Selecione o tipo da contagem",ISBLANK('Dados da OS'!$D$8),B165="INM",B165="N/A",ISBLANK(B165),ISBLANK(C165),N165="VF"),"-",
   IF('Dados da OS'!$D$8=Parâmetros!$B$3,
      IF(OR(ISBLANK(D165),ISBLANK(F165)),"-",
         IF(L165="L","Baixa",IF(L165="A","Média",IF(L165="H","Alta","-")))),
      IF('Dados da OS'!$D$8=Parâmetros!$B$4,
         IF(OR(B165="ALI",B165="AIE"),"Baixa",IF(OR(B165="EE",B165="SE",B165="CE"),"Média","-")),
         IF(OR('Dados da OS'!$D$8=Parâmetros!$B$5,'Dados da OS'!$D$8=Parâmetros!$B$6),"-"))))</f>
        <v>-</v>
      </c>
      <c r="P165" s="59" t="str">
        <f xml:space="preserve">
IF(OR(ISBLANK(B165),ISBLANK(C165),B165="N/A",ISBLANK('Dados da OS'!$D$8)),"",
   IF(OR('Dados da OS'!$D$8=Parâmetros!$B$3,'Dados da OS'!$D$8=Parâmetros!$B$4),
      IF(OR(AND(B165="INM",N165&lt;&gt;"VF"),AND(N165="VF",B165&lt;&gt;"INM")),"",
        IF(AND(B165="INM",N165="VF"),IF(ISBLANK(H165),"",M165*H165),
        IF('Dados da OS'!$D$8=Parâmetros!$B$4,
           IF(OR(B165="CE",B165="EE"),4,IF(B165="SE",5,IF(B165="ALI",7,IF(B165="AIE",5,"")))),
        IF('Dados da OS'!$D$8=Parâmetros!$B$3,
           IF(OR(ISBLANK(D165),ISBLANK(F165)),"",
              IF(B165="ALI",IF(L165="L",7,IF(L165="A",10,15)),
                 IF(B165="AIE",IF(L165="L",5,IF(L165="A",7,10)),
                    IF(B165="SE",IF(L165="L",4,IF(L165="A",5,7)),
                       IF(OR(B165="EE",B165="CE"),IF(L165="L",3,IF(L165="A",4,6)),""))))))))),
   IF('Dados da OS'!$D$8=Parâmetros!$B$5,
      IF(OR(AND(B165="INM",N165&lt;&gt;"VF"),AND(N165="VF",B165&lt;&gt;"INM")),"",
         IF(B165="INM",IF(N165="VF",M165*H165,""),
            IF(B165="PE",4.6,
            IF(B165="AL",7,"")))),
   IF('Dados da OS'!$D$8=Parâmetros!$B$6,
      IF(B165="ALI",35,IF(B165="AIE",15,"")),""))
    )
)</f>
        <v/>
      </c>
      <c r="Q165" s="60" t="str">
        <f t="shared" si="19"/>
        <v/>
      </c>
      <c r="R165" s="61"/>
      <c r="S165" s="62"/>
      <c r="T165" s="80" t="s">
        <v>21</v>
      </c>
      <c r="U165" s="81"/>
      <c r="V165" s="99"/>
      <c r="W165" s="55"/>
      <c r="X165" s="55"/>
      <c r="Y165" s="56"/>
      <c r="Z165" s="55"/>
      <c r="AA165" s="56"/>
      <c r="AB165" s="55"/>
      <c r="AC165" s="57" t="str">
        <f t="shared" si="20"/>
        <v/>
      </c>
      <c r="AD165" s="57" t="str">
        <f t="shared" si="21"/>
        <v/>
      </c>
      <c r="AE165" s="57" t="str">
        <f xml:space="preserve">
IF(OR('Dados da OS'!$D$8=Parâmetros!$B$3,'Dados da OS'!$D$8=Parâmetros!$B$4),
  IF(OR(ISBLANK(X165),ISBLANK(Z165)),
     IF(OR(V165="ALI",V165="AIE"),"L",IF(ISBLANK(V165),"","A")),
     IF(V165="EE",IF(Z165&gt;=3,IF(X165&gt;=5,"H","A"),
     IF(Z165&gt;=2,IF(X165&gt;=16,"H",IF(X165&lt;=4,"L","A")),IF(X165&lt;=15,"L","A"))),
     IF(OR(V165="SE",V165="CE"),IF(Z165&gt;=4,IF(X165&gt;=6,"H","A"),IF(Z165&gt;=2,IF(X165&gt;=20,"H",IF(X165&lt;=5,"L","A")),IF(X165&lt;=19,"L","A"))),
     IF(OR(V165="ALI",V165="AIE"),IF(Z165&gt;=6,IF(X165&gt;=20,"H","A"),IF(Z165&gt;=2,IF(X165&gt;=51,"H",IF(X165&lt;=19,"L","A")),IF(X165&lt;=50,"L","A"))))))),
IF('Dados da OS'!$D$8=Parâmetros!$B$6,"Indicativa",
IF('Dados da OS'!$D$8=Parâmetros!$B$5,"PFS","")))</f>
        <v/>
      </c>
      <c r="AF165" s="57">
        <f>IFERROR(VLOOKUP(W165,'Fatores de Impacto e INMs'!$A$3:$D$32,3,0),1)</f>
        <v>1</v>
      </c>
      <c r="AG165" s="57">
        <f>IFERROR(VLOOKUP(W165,'Fatores de Impacto e INMs'!$A$3:$E$32,5,0),1)</f>
        <v>1</v>
      </c>
      <c r="AH165" s="82" t="str">
        <f xml:space="preserve">
IF(OR('Dados da OS'!$D$8="Selecione o tipo da contagem",ISBLANK('Dados da OS'!$D$8),V165="INM",V165="N/A",ISBLANK(V165),ISBLANK(W165),AG165="VF"),"-",
   IF('Dados da OS'!$D$8=Parâmetros!$B$3,
      IF(OR(ISBLANK(X165),ISBLANK(Z165)),"-",
         IF(AE165="L","Baixa",IF(AE165="A","Média",IF(AE165="H","Alta","-")))),
      IF('Dados da OS'!$D$8=Parâmetros!$B$4,
         IF(OR(V165="ALI",V165="AIE"),"Baixa",IF(OR(V165="EE",V165="SE",V165="CE"),"Média","-")),
         IF(OR('Dados da OS'!$D$8=Parâmetros!$B$5,'Dados da OS'!$D$8=Parâmetros!$B$6),"-"))))</f>
        <v>-</v>
      </c>
      <c r="AI165" s="83" t="str">
        <f xml:space="preserve">
IF(OR(ISBLANK(V165),ISBLANK(U165),ISBLANK(W165),V165="N/A",ISBLANK('Dados da OS'!$D$8)),"",
   IF(OR('Dados da OS'!$D$8=Parâmetros!$B$3,'Dados da OS'!$D$8=Parâmetros!$B$4),
      IF(OR(AND(V165="INM",AG165&lt;&gt;"VF"),AND(AG165="VF",V165&lt;&gt;"INM")),"",
        IF(AND(V165="INM",AG165="VF"),IF(ISBLANK(AB165),"",AF165*AB165),
        IF('Dados da OS'!$D$8=Parâmetros!$B$4,
           IF(OR(V165="CE",V165="EE"),4,IF(V165="SE",5,IF(V165="ALI",7,IF(V165="AIE",5,"")))),
        IF('Dados da OS'!$D$8=Parâmetros!$B$3,
           IF(OR(ISBLANK(X165),ISBLANK(Z165)),"",
              IF(V165="ALI",IF(AE165="L",7,IF(AE165="A",10,15)),
                 IF(V165="AIE",IF(AE165="L",5,IF(AE165="A",7,10)),
                    IF(V165="SE",IF(AE165="L",4,IF(AE165="A",5,7)),
                       IF(OR(V165="EE",V165="CE"),IF(AE165="L",3,IF(AE165="A",4,6)),""))))))))),
   IF('Dados da OS'!$D$8=Parâmetros!$B$5,
      IF(OR(AND(V165="INM",AG165&lt;&gt;"VF"),AND(AG165="VF",V165&lt;&gt;"INM")),"",
         IF(V165="INM",IF(AG165="VF",AF165*AB165,""),
            IF(V165="PE",4.6,
            IF(V165="AL",7,"")))),
   IF('Dados da OS'!$D$8=Parâmetros!$B$6,
      IF(V165="ALI",35,IF(V165="AIE",15,"")),""))
    )
)</f>
        <v/>
      </c>
      <c r="AJ165" s="82" t="str">
        <f t="shared" si="22"/>
        <v/>
      </c>
      <c r="AK165" s="84"/>
      <c r="AL165" s="85" t="s">
        <v>21</v>
      </c>
      <c r="AM165" s="86"/>
      <c r="AN165" s="85"/>
      <c r="AO165" s="87"/>
      <c r="AP165" s="85"/>
      <c r="AQ165" s="86"/>
      <c r="AR165" s="85"/>
    </row>
    <row r="166" spans="1:44" ht="15.75" customHeight="1">
      <c r="A166" s="54"/>
      <c r="B166" s="100"/>
      <c r="C166" s="55"/>
      <c r="D166" s="55"/>
      <c r="E166" s="56"/>
      <c r="F166" s="55"/>
      <c r="G166" s="56"/>
      <c r="H166" s="55"/>
      <c r="I166" s="64"/>
      <c r="J166" s="57" t="str">
        <f t="shared" si="17"/>
        <v/>
      </c>
      <c r="K166" s="57" t="str">
        <f t="shared" si="18"/>
        <v/>
      </c>
      <c r="L166" s="57" t="str">
        <f xml:space="preserve">
IF(OR('Dados da OS'!$D$8=Parâmetros!$B$3,'Dados da OS'!$D$8=Parâmetros!$B$4),
  IF(OR(ISBLANK(D166),ISBLANK(F166)),
     IF(OR(B166="ALI",B166="AIE"),"L",IF(ISBLANK(B166),"","A")),
     IF(B166="EE",IF(F166&gt;=3,IF(D166&gt;=5,"H","A"),
     IF(F166&gt;=2,IF(D166&gt;=16,"H",IF(D166&lt;=4,"L","A")),IF(D166&lt;=15,"L","A"))),
     IF(OR(B166="SE",B166="CE"),IF(F166&gt;=4,IF(D166&gt;=6,"H","A"),IF(F166&gt;=2,IF(D166&gt;=20,"H",IF(D166&lt;=5,"L","A")),IF(D166&lt;=19,"L","A"))),
     IF(OR(B166="ALI",B166="AIE"),IF(F166&gt;=6,IF(D166&gt;=20,"H","A"),IF(F166&gt;=2,IF(D166&gt;=51,"H",IF(D166&lt;=19,"L","A")),IF(D166&lt;=50,"L","A"))))))),
IF('Dados da OS'!$D$8=Parâmetros!$B$6,"Indicativa",
IF('Dados da OS'!$D$8=Parâmetros!$B$5,"PFS","")))</f>
        <v/>
      </c>
      <c r="M166" s="57">
        <f>IFERROR(VLOOKUP(C166,'Fatores de Impacto e INMs'!$A$3:$D$32,3,0),1)</f>
        <v>1</v>
      </c>
      <c r="N166" s="57">
        <f>IFERROR(VLOOKUP(C166,'Fatores de Impacto e INMs'!$A$3:$E$32,5,0),1)</f>
        <v>1</v>
      </c>
      <c r="O166" s="63" t="str">
        <f xml:space="preserve">
IF(OR('Dados da OS'!$D$8="Selecione o tipo da contagem",ISBLANK('Dados da OS'!$D$8),B166="INM",B166="N/A",ISBLANK(B166),ISBLANK(C166),N166="VF"),"-",
   IF('Dados da OS'!$D$8=Parâmetros!$B$3,
      IF(OR(ISBLANK(D166),ISBLANK(F166)),"-",
         IF(L166="L","Baixa",IF(L166="A","Média",IF(L166="H","Alta","-")))),
      IF('Dados da OS'!$D$8=Parâmetros!$B$4,
         IF(OR(B166="ALI",B166="AIE"),"Baixa",IF(OR(B166="EE",B166="SE",B166="CE"),"Média","-")),
         IF(OR('Dados da OS'!$D$8=Parâmetros!$B$5,'Dados da OS'!$D$8=Parâmetros!$B$6),"-"))))</f>
        <v>-</v>
      </c>
      <c r="P166" s="59" t="str">
        <f xml:space="preserve">
IF(OR(ISBLANK(B166),ISBLANK(C166),B166="N/A",ISBLANK('Dados da OS'!$D$8)),"",
   IF(OR('Dados da OS'!$D$8=Parâmetros!$B$3,'Dados da OS'!$D$8=Parâmetros!$B$4),
      IF(OR(AND(B166="INM",N166&lt;&gt;"VF"),AND(N166="VF",B166&lt;&gt;"INM")),"",
        IF(AND(B166="INM",N166="VF"),IF(ISBLANK(H166),"",M166*H166),
        IF('Dados da OS'!$D$8=Parâmetros!$B$4,
           IF(OR(B166="CE",B166="EE"),4,IF(B166="SE",5,IF(B166="ALI",7,IF(B166="AIE",5,"")))),
        IF('Dados da OS'!$D$8=Parâmetros!$B$3,
           IF(OR(ISBLANK(D166),ISBLANK(F166)),"",
              IF(B166="ALI",IF(L166="L",7,IF(L166="A",10,15)),
                 IF(B166="AIE",IF(L166="L",5,IF(L166="A",7,10)),
                    IF(B166="SE",IF(L166="L",4,IF(L166="A",5,7)),
                       IF(OR(B166="EE",B166="CE"),IF(L166="L",3,IF(L166="A",4,6)),""))))))))),
   IF('Dados da OS'!$D$8=Parâmetros!$B$5,
      IF(OR(AND(B166="INM",N166&lt;&gt;"VF"),AND(N166="VF",B166&lt;&gt;"INM")),"",
         IF(B166="INM",IF(N166="VF",M166*H166,""),
            IF(B166="PE",4.6,
            IF(B166="AL",7,"")))),
   IF('Dados da OS'!$D$8=Parâmetros!$B$6,
      IF(B166="ALI",35,IF(B166="AIE",15,"")),""))
    )
)</f>
        <v/>
      </c>
      <c r="Q166" s="60" t="str">
        <f t="shared" si="19"/>
        <v/>
      </c>
      <c r="R166" s="61"/>
      <c r="S166" s="62"/>
      <c r="T166" s="80" t="s">
        <v>21</v>
      </c>
      <c r="U166" s="81"/>
      <c r="V166" s="99"/>
      <c r="W166" s="55"/>
      <c r="X166" s="55"/>
      <c r="Y166" s="56"/>
      <c r="Z166" s="55"/>
      <c r="AA166" s="56"/>
      <c r="AB166" s="55"/>
      <c r="AC166" s="57" t="str">
        <f t="shared" si="20"/>
        <v/>
      </c>
      <c r="AD166" s="57" t="str">
        <f t="shared" si="21"/>
        <v/>
      </c>
      <c r="AE166" s="57" t="str">
        <f xml:space="preserve">
IF(OR('Dados da OS'!$D$8=Parâmetros!$B$3,'Dados da OS'!$D$8=Parâmetros!$B$4),
  IF(OR(ISBLANK(X166),ISBLANK(Z166)),
     IF(OR(V166="ALI",V166="AIE"),"L",IF(ISBLANK(V166),"","A")),
     IF(V166="EE",IF(Z166&gt;=3,IF(X166&gt;=5,"H","A"),
     IF(Z166&gt;=2,IF(X166&gt;=16,"H",IF(X166&lt;=4,"L","A")),IF(X166&lt;=15,"L","A"))),
     IF(OR(V166="SE",V166="CE"),IF(Z166&gt;=4,IF(X166&gt;=6,"H","A"),IF(Z166&gt;=2,IF(X166&gt;=20,"H",IF(X166&lt;=5,"L","A")),IF(X166&lt;=19,"L","A"))),
     IF(OR(V166="ALI",V166="AIE"),IF(Z166&gt;=6,IF(X166&gt;=20,"H","A"),IF(Z166&gt;=2,IF(X166&gt;=51,"H",IF(X166&lt;=19,"L","A")),IF(X166&lt;=50,"L","A"))))))),
IF('Dados da OS'!$D$8=Parâmetros!$B$6,"Indicativa",
IF('Dados da OS'!$D$8=Parâmetros!$B$5,"PFS","")))</f>
        <v/>
      </c>
      <c r="AF166" s="57">
        <f>IFERROR(VLOOKUP(W166,'Fatores de Impacto e INMs'!$A$3:$D$32,3,0),1)</f>
        <v>1</v>
      </c>
      <c r="AG166" s="57">
        <f>IFERROR(VLOOKUP(W166,'Fatores de Impacto e INMs'!$A$3:$E$32,5,0),1)</f>
        <v>1</v>
      </c>
      <c r="AH166" s="82" t="str">
        <f xml:space="preserve">
IF(OR('Dados da OS'!$D$8="Selecione o tipo da contagem",ISBLANK('Dados da OS'!$D$8),V166="INM",V166="N/A",ISBLANK(V166),ISBLANK(W166),AG166="VF"),"-",
   IF('Dados da OS'!$D$8=Parâmetros!$B$3,
      IF(OR(ISBLANK(X166),ISBLANK(Z166)),"-",
         IF(AE166="L","Baixa",IF(AE166="A","Média",IF(AE166="H","Alta","-")))),
      IF('Dados da OS'!$D$8=Parâmetros!$B$4,
         IF(OR(V166="ALI",V166="AIE"),"Baixa",IF(OR(V166="EE",V166="SE",V166="CE"),"Média","-")),
         IF(OR('Dados da OS'!$D$8=Parâmetros!$B$5,'Dados da OS'!$D$8=Parâmetros!$B$6),"-"))))</f>
        <v>-</v>
      </c>
      <c r="AI166" s="83" t="str">
        <f xml:space="preserve">
IF(OR(ISBLANK(V166),ISBLANK(U166),ISBLANK(W166),V166="N/A",ISBLANK('Dados da OS'!$D$8)),"",
   IF(OR('Dados da OS'!$D$8=Parâmetros!$B$3,'Dados da OS'!$D$8=Parâmetros!$B$4),
      IF(OR(AND(V166="INM",AG166&lt;&gt;"VF"),AND(AG166="VF",V166&lt;&gt;"INM")),"",
        IF(AND(V166="INM",AG166="VF"),IF(ISBLANK(AB166),"",AF166*AB166),
        IF('Dados da OS'!$D$8=Parâmetros!$B$4,
           IF(OR(V166="CE",V166="EE"),4,IF(V166="SE",5,IF(V166="ALI",7,IF(V166="AIE",5,"")))),
        IF('Dados da OS'!$D$8=Parâmetros!$B$3,
           IF(OR(ISBLANK(X166),ISBLANK(Z166)),"",
              IF(V166="ALI",IF(AE166="L",7,IF(AE166="A",10,15)),
                 IF(V166="AIE",IF(AE166="L",5,IF(AE166="A",7,10)),
                    IF(V166="SE",IF(AE166="L",4,IF(AE166="A",5,7)),
                       IF(OR(V166="EE",V166="CE"),IF(AE166="L",3,IF(AE166="A",4,6)),""))))))))),
   IF('Dados da OS'!$D$8=Parâmetros!$B$5,
      IF(OR(AND(V166="INM",AG166&lt;&gt;"VF"),AND(AG166="VF",V166&lt;&gt;"INM")),"",
         IF(V166="INM",IF(AG166="VF",AF166*AB166,""),
            IF(V166="PE",4.6,
            IF(V166="AL",7,"")))),
   IF('Dados da OS'!$D$8=Parâmetros!$B$6,
      IF(V166="ALI",35,IF(V166="AIE",15,"")),""))
    )
)</f>
        <v/>
      </c>
      <c r="AJ166" s="82" t="str">
        <f t="shared" si="22"/>
        <v/>
      </c>
      <c r="AK166" s="84"/>
      <c r="AL166" s="85" t="s">
        <v>21</v>
      </c>
      <c r="AM166" s="86"/>
      <c r="AN166" s="85"/>
      <c r="AO166" s="87"/>
      <c r="AP166" s="85"/>
      <c r="AQ166" s="86"/>
      <c r="AR166" s="85"/>
    </row>
    <row r="167" spans="1:44" ht="15.75" customHeight="1">
      <c r="A167" s="54"/>
      <c r="B167" s="100"/>
      <c r="C167" s="55"/>
      <c r="D167" s="55"/>
      <c r="E167" s="56"/>
      <c r="F167" s="55"/>
      <c r="G167" s="56"/>
      <c r="H167" s="55"/>
      <c r="I167" s="64"/>
      <c r="J167" s="57" t="str">
        <f t="shared" si="17"/>
        <v/>
      </c>
      <c r="K167" s="57" t="str">
        <f t="shared" si="18"/>
        <v/>
      </c>
      <c r="L167" s="57" t="str">
        <f xml:space="preserve">
IF(OR('Dados da OS'!$D$8=Parâmetros!$B$3,'Dados da OS'!$D$8=Parâmetros!$B$4),
  IF(OR(ISBLANK(D167),ISBLANK(F167)),
     IF(OR(B167="ALI",B167="AIE"),"L",IF(ISBLANK(B167),"","A")),
     IF(B167="EE",IF(F167&gt;=3,IF(D167&gt;=5,"H","A"),
     IF(F167&gt;=2,IF(D167&gt;=16,"H",IF(D167&lt;=4,"L","A")),IF(D167&lt;=15,"L","A"))),
     IF(OR(B167="SE",B167="CE"),IF(F167&gt;=4,IF(D167&gt;=6,"H","A"),IF(F167&gt;=2,IF(D167&gt;=20,"H",IF(D167&lt;=5,"L","A")),IF(D167&lt;=19,"L","A"))),
     IF(OR(B167="ALI",B167="AIE"),IF(F167&gt;=6,IF(D167&gt;=20,"H","A"),IF(F167&gt;=2,IF(D167&gt;=51,"H",IF(D167&lt;=19,"L","A")),IF(D167&lt;=50,"L","A"))))))),
IF('Dados da OS'!$D$8=Parâmetros!$B$6,"Indicativa",
IF('Dados da OS'!$D$8=Parâmetros!$B$5,"PFS","")))</f>
        <v/>
      </c>
      <c r="M167" s="57">
        <f>IFERROR(VLOOKUP(C167,'Fatores de Impacto e INMs'!$A$3:$D$32,3,0),1)</f>
        <v>1</v>
      </c>
      <c r="N167" s="57">
        <f>IFERROR(VLOOKUP(C167,'Fatores de Impacto e INMs'!$A$3:$E$32,5,0),1)</f>
        <v>1</v>
      </c>
      <c r="O167" s="63" t="str">
        <f xml:space="preserve">
IF(OR('Dados da OS'!$D$8="Selecione o tipo da contagem",ISBLANK('Dados da OS'!$D$8),B167="INM",B167="N/A",ISBLANK(B167),ISBLANK(C167),N167="VF"),"-",
   IF('Dados da OS'!$D$8=Parâmetros!$B$3,
      IF(OR(ISBLANK(D167),ISBLANK(F167)),"-",
         IF(L167="L","Baixa",IF(L167="A","Média",IF(L167="H","Alta","-")))),
      IF('Dados da OS'!$D$8=Parâmetros!$B$4,
         IF(OR(B167="ALI",B167="AIE"),"Baixa",IF(OR(B167="EE",B167="SE",B167="CE"),"Média","-")),
         IF(OR('Dados da OS'!$D$8=Parâmetros!$B$5,'Dados da OS'!$D$8=Parâmetros!$B$6),"-"))))</f>
        <v>-</v>
      </c>
      <c r="P167" s="59" t="str">
        <f xml:space="preserve">
IF(OR(ISBLANK(B167),ISBLANK(C167),B167="N/A",ISBLANK('Dados da OS'!$D$8)),"",
   IF(OR('Dados da OS'!$D$8=Parâmetros!$B$3,'Dados da OS'!$D$8=Parâmetros!$B$4),
      IF(OR(AND(B167="INM",N167&lt;&gt;"VF"),AND(N167="VF",B167&lt;&gt;"INM")),"",
        IF(AND(B167="INM",N167="VF"),IF(ISBLANK(H167),"",M167*H167),
        IF('Dados da OS'!$D$8=Parâmetros!$B$4,
           IF(OR(B167="CE",B167="EE"),4,IF(B167="SE",5,IF(B167="ALI",7,IF(B167="AIE",5,"")))),
        IF('Dados da OS'!$D$8=Parâmetros!$B$3,
           IF(OR(ISBLANK(D167),ISBLANK(F167)),"",
              IF(B167="ALI",IF(L167="L",7,IF(L167="A",10,15)),
                 IF(B167="AIE",IF(L167="L",5,IF(L167="A",7,10)),
                    IF(B167="SE",IF(L167="L",4,IF(L167="A",5,7)),
                       IF(OR(B167="EE",B167="CE"),IF(L167="L",3,IF(L167="A",4,6)),""))))))))),
   IF('Dados da OS'!$D$8=Parâmetros!$B$5,
      IF(OR(AND(B167="INM",N167&lt;&gt;"VF"),AND(N167="VF",B167&lt;&gt;"INM")),"",
         IF(B167="INM",IF(N167="VF",M167*H167,""),
            IF(B167="PE",4.6,
            IF(B167="AL",7,"")))),
   IF('Dados da OS'!$D$8=Parâmetros!$B$6,
      IF(B167="ALI",35,IF(B167="AIE",15,"")),""))
    )
)</f>
        <v/>
      </c>
      <c r="Q167" s="60" t="str">
        <f t="shared" si="19"/>
        <v/>
      </c>
      <c r="R167" s="61"/>
      <c r="S167" s="62"/>
      <c r="T167" s="80" t="s">
        <v>21</v>
      </c>
      <c r="U167" s="81"/>
      <c r="V167" s="99"/>
      <c r="W167" s="55"/>
      <c r="X167" s="55"/>
      <c r="Y167" s="56"/>
      <c r="Z167" s="55"/>
      <c r="AA167" s="56"/>
      <c r="AB167" s="55"/>
      <c r="AC167" s="57" t="str">
        <f t="shared" si="20"/>
        <v/>
      </c>
      <c r="AD167" s="57" t="str">
        <f t="shared" si="21"/>
        <v/>
      </c>
      <c r="AE167" s="57" t="str">
        <f xml:space="preserve">
IF(OR('Dados da OS'!$D$8=Parâmetros!$B$3,'Dados da OS'!$D$8=Parâmetros!$B$4),
  IF(OR(ISBLANK(X167),ISBLANK(Z167)),
     IF(OR(V167="ALI",V167="AIE"),"L",IF(ISBLANK(V167),"","A")),
     IF(V167="EE",IF(Z167&gt;=3,IF(X167&gt;=5,"H","A"),
     IF(Z167&gt;=2,IF(X167&gt;=16,"H",IF(X167&lt;=4,"L","A")),IF(X167&lt;=15,"L","A"))),
     IF(OR(V167="SE",V167="CE"),IF(Z167&gt;=4,IF(X167&gt;=6,"H","A"),IF(Z167&gt;=2,IF(X167&gt;=20,"H",IF(X167&lt;=5,"L","A")),IF(X167&lt;=19,"L","A"))),
     IF(OR(V167="ALI",V167="AIE"),IF(Z167&gt;=6,IF(X167&gt;=20,"H","A"),IF(Z167&gt;=2,IF(X167&gt;=51,"H",IF(X167&lt;=19,"L","A")),IF(X167&lt;=50,"L","A"))))))),
IF('Dados da OS'!$D$8=Parâmetros!$B$6,"Indicativa",
IF('Dados da OS'!$D$8=Parâmetros!$B$5,"PFS","")))</f>
        <v/>
      </c>
      <c r="AF167" s="57">
        <f>IFERROR(VLOOKUP(W167,'Fatores de Impacto e INMs'!$A$3:$D$32,3,0),1)</f>
        <v>1</v>
      </c>
      <c r="AG167" s="57">
        <f>IFERROR(VLOOKUP(W167,'Fatores de Impacto e INMs'!$A$3:$E$32,5,0),1)</f>
        <v>1</v>
      </c>
      <c r="AH167" s="82" t="str">
        <f xml:space="preserve">
IF(OR('Dados da OS'!$D$8="Selecione o tipo da contagem",ISBLANK('Dados da OS'!$D$8),V167="INM",V167="N/A",ISBLANK(V167),ISBLANK(W167),AG167="VF"),"-",
   IF('Dados da OS'!$D$8=Parâmetros!$B$3,
      IF(OR(ISBLANK(X167),ISBLANK(Z167)),"-",
         IF(AE167="L","Baixa",IF(AE167="A","Média",IF(AE167="H","Alta","-")))),
      IF('Dados da OS'!$D$8=Parâmetros!$B$4,
         IF(OR(V167="ALI",V167="AIE"),"Baixa",IF(OR(V167="EE",V167="SE",V167="CE"),"Média","-")),
         IF(OR('Dados da OS'!$D$8=Parâmetros!$B$5,'Dados da OS'!$D$8=Parâmetros!$B$6),"-"))))</f>
        <v>-</v>
      </c>
      <c r="AI167" s="83" t="str">
        <f xml:space="preserve">
IF(OR(ISBLANK(V167),ISBLANK(U167),ISBLANK(W167),V167="N/A",ISBLANK('Dados da OS'!$D$8)),"",
   IF(OR('Dados da OS'!$D$8=Parâmetros!$B$3,'Dados da OS'!$D$8=Parâmetros!$B$4),
      IF(OR(AND(V167="INM",AG167&lt;&gt;"VF"),AND(AG167="VF",V167&lt;&gt;"INM")),"",
        IF(AND(V167="INM",AG167="VF"),IF(ISBLANK(AB167),"",AF167*AB167),
        IF('Dados da OS'!$D$8=Parâmetros!$B$4,
           IF(OR(V167="CE",V167="EE"),4,IF(V167="SE",5,IF(V167="ALI",7,IF(V167="AIE",5,"")))),
        IF('Dados da OS'!$D$8=Parâmetros!$B$3,
           IF(OR(ISBLANK(X167),ISBLANK(Z167)),"",
              IF(V167="ALI",IF(AE167="L",7,IF(AE167="A",10,15)),
                 IF(V167="AIE",IF(AE167="L",5,IF(AE167="A",7,10)),
                    IF(V167="SE",IF(AE167="L",4,IF(AE167="A",5,7)),
                       IF(OR(V167="EE",V167="CE"),IF(AE167="L",3,IF(AE167="A",4,6)),""))))))))),
   IF('Dados da OS'!$D$8=Parâmetros!$B$5,
      IF(OR(AND(V167="INM",AG167&lt;&gt;"VF"),AND(AG167="VF",V167&lt;&gt;"INM")),"",
         IF(V167="INM",IF(AG167="VF",AF167*AB167,""),
            IF(V167="PE",4.6,
            IF(V167="AL",7,"")))),
   IF('Dados da OS'!$D$8=Parâmetros!$B$6,
      IF(V167="ALI",35,IF(V167="AIE",15,"")),""))
    )
)</f>
        <v/>
      </c>
      <c r="AJ167" s="82" t="str">
        <f t="shared" si="22"/>
        <v/>
      </c>
      <c r="AK167" s="84"/>
      <c r="AL167" s="85" t="s">
        <v>21</v>
      </c>
      <c r="AM167" s="86"/>
      <c r="AN167" s="85"/>
      <c r="AO167" s="87"/>
      <c r="AP167" s="85"/>
      <c r="AQ167" s="86"/>
      <c r="AR167" s="85"/>
    </row>
    <row r="168" spans="1:44" ht="15.75" customHeight="1">
      <c r="A168" s="54"/>
      <c r="B168" s="100"/>
      <c r="C168" s="55"/>
      <c r="D168" s="55"/>
      <c r="E168" s="56"/>
      <c r="F168" s="55"/>
      <c r="G168" s="56"/>
      <c r="H168" s="55"/>
      <c r="I168" s="64"/>
      <c r="J168" s="57" t="str">
        <f t="shared" si="17"/>
        <v/>
      </c>
      <c r="K168" s="57" t="str">
        <f t="shared" si="18"/>
        <v/>
      </c>
      <c r="L168" s="57" t="str">
        <f xml:space="preserve">
IF(OR('Dados da OS'!$D$8=Parâmetros!$B$3,'Dados da OS'!$D$8=Parâmetros!$B$4),
  IF(OR(ISBLANK(D168),ISBLANK(F168)),
     IF(OR(B168="ALI",B168="AIE"),"L",IF(ISBLANK(B168),"","A")),
     IF(B168="EE",IF(F168&gt;=3,IF(D168&gt;=5,"H","A"),
     IF(F168&gt;=2,IF(D168&gt;=16,"H",IF(D168&lt;=4,"L","A")),IF(D168&lt;=15,"L","A"))),
     IF(OR(B168="SE",B168="CE"),IF(F168&gt;=4,IF(D168&gt;=6,"H","A"),IF(F168&gt;=2,IF(D168&gt;=20,"H",IF(D168&lt;=5,"L","A")),IF(D168&lt;=19,"L","A"))),
     IF(OR(B168="ALI",B168="AIE"),IF(F168&gt;=6,IF(D168&gt;=20,"H","A"),IF(F168&gt;=2,IF(D168&gt;=51,"H",IF(D168&lt;=19,"L","A")),IF(D168&lt;=50,"L","A"))))))),
IF('Dados da OS'!$D$8=Parâmetros!$B$6,"Indicativa",
IF('Dados da OS'!$D$8=Parâmetros!$B$5,"PFS","")))</f>
        <v/>
      </c>
      <c r="M168" s="57">
        <f>IFERROR(VLOOKUP(C168,'Fatores de Impacto e INMs'!$A$3:$D$32,3,0),1)</f>
        <v>1</v>
      </c>
      <c r="N168" s="57">
        <f>IFERROR(VLOOKUP(C168,'Fatores de Impacto e INMs'!$A$3:$E$32,5,0),1)</f>
        <v>1</v>
      </c>
      <c r="O168" s="63" t="str">
        <f xml:space="preserve">
IF(OR('Dados da OS'!$D$8="Selecione o tipo da contagem",ISBLANK('Dados da OS'!$D$8),B168="INM",B168="N/A",ISBLANK(B168),ISBLANK(C168),N168="VF"),"-",
   IF('Dados da OS'!$D$8=Parâmetros!$B$3,
      IF(OR(ISBLANK(D168),ISBLANK(F168)),"-",
         IF(L168="L","Baixa",IF(L168="A","Média",IF(L168="H","Alta","-")))),
      IF('Dados da OS'!$D$8=Parâmetros!$B$4,
         IF(OR(B168="ALI",B168="AIE"),"Baixa",IF(OR(B168="EE",B168="SE",B168="CE"),"Média","-")),
         IF(OR('Dados da OS'!$D$8=Parâmetros!$B$5,'Dados da OS'!$D$8=Parâmetros!$B$6),"-"))))</f>
        <v>-</v>
      </c>
      <c r="P168" s="59" t="str">
        <f xml:space="preserve">
IF(OR(ISBLANK(B168),ISBLANK(C168),B168="N/A",ISBLANK('Dados da OS'!$D$8)),"",
   IF(OR('Dados da OS'!$D$8=Parâmetros!$B$3,'Dados da OS'!$D$8=Parâmetros!$B$4),
      IF(OR(AND(B168="INM",N168&lt;&gt;"VF"),AND(N168="VF",B168&lt;&gt;"INM")),"",
        IF(AND(B168="INM",N168="VF"),IF(ISBLANK(H168),"",M168*H168),
        IF('Dados da OS'!$D$8=Parâmetros!$B$4,
           IF(OR(B168="CE",B168="EE"),4,IF(B168="SE",5,IF(B168="ALI",7,IF(B168="AIE",5,"")))),
        IF('Dados da OS'!$D$8=Parâmetros!$B$3,
           IF(OR(ISBLANK(D168),ISBLANK(F168)),"",
              IF(B168="ALI",IF(L168="L",7,IF(L168="A",10,15)),
                 IF(B168="AIE",IF(L168="L",5,IF(L168="A",7,10)),
                    IF(B168="SE",IF(L168="L",4,IF(L168="A",5,7)),
                       IF(OR(B168="EE",B168="CE"),IF(L168="L",3,IF(L168="A",4,6)),""))))))))),
   IF('Dados da OS'!$D$8=Parâmetros!$B$5,
      IF(OR(AND(B168="INM",N168&lt;&gt;"VF"),AND(N168="VF",B168&lt;&gt;"INM")),"",
         IF(B168="INM",IF(N168="VF",M168*H168,""),
            IF(B168="PE",4.6,
            IF(B168="AL",7,"")))),
   IF('Dados da OS'!$D$8=Parâmetros!$B$6,
      IF(B168="ALI",35,IF(B168="AIE",15,"")),""))
    )
)</f>
        <v/>
      </c>
      <c r="Q168" s="60" t="str">
        <f t="shared" si="19"/>
        <v/>
      </c>
      <c r="R168" s="61"/>
      <c r="S168" s="62"/>
      <c r="T168" s="80" t="s">
        <v>21</v>
      </c>
      <c r="U168" s="81"/>
      <c r="V168" s="99"/>
      <c r="W168" s="55"/>
      <c r="X168" s="55"/>
      <c r="Y168" s="56"/>
      <c r="Z168" s="55"/>
      <c r="AA168" s="56"/>
      <c r="AB168" s="55"/>
      <c r="AC168" s="57" t="str">
        <f t="shared" si="20"/>
        <v/>
      </c>
      <c r="AD168" s="57" t="str">
        <f t="shared" si="21"/>
        <v/>
      </c>
      <c r="AE168" s="57" t="str">
        <f xml:space="preserve">
IF(OR('Dados da OS'!$D$8=Parâmetros!$B$3,'Dados da OS'!$D$8=Parâmetros!$B$4),
  IF(OR(ISBLANK(X168),ISBLANK(Z168)),
     IF(OR(V168="ALI",V168="AIE"),"L",IF(ISBLANK(V168),"","A")),
     IF(V168="EE",IF(Z168&gt;=3,IF(X168&gt;=5,"H","A"),
     IF(Z168&gt;=2,IF(X168&gt;=16,"H",IF(X168&lt;=4,"L","A")),IF(X168&lt;=15,"L","A"))),
     IF(OR(V168="SE",V168="CE"),IF(Z168&gt;=4,IF(X168&gt;=6,"H","A"),IF(Z168&gt;=2,IF(X168&gt;=20,"H",IF(X168&lt;=5,"L","A")),IF(X168&lt;=19,"L","A"))),
     IF(OR(V168="ALI",V168="AIE"),IF(Z168&gt;=6,IF(X168&gt;=20,"H","A"),IF(Z168&gt;=2,IF(X168&gt;=51,"H",IF(X168&lt;=19,"L","A")),IF(X168&lt;=50,"L","A"))))))),
IF('Dados da OS'!$D$8=Parâmetros!$B$6,"Indicativa",
IF('Dados da OS'!$D$8=Parâmetros!$B$5,"PFS","")))</f>
        <v/>
      </c>
      <c r="AF168" s="57">
        <f>IFERROR(VLOOKUP(W168,'Fatores de Impacto e INMs'!$A$3:$D$32,3,0),1)</f>
        <v>1</v>
      </c>
      <c r="AG168" s="57">
        <f>IFERROR(VLOOKUP(W168,'Fatores de Impacto e INMs'!$A$3:$E$32,5,0),1)</f>
        <v>1</v>
      </c>
      <c r="AH168" s="82" t="str">
        <f xml:space="preserve">
IF(OR('Dados da OS'!$D$8="Selecione o tipo da contagem",ISBLANK('Dados da OS'!$D$8),V168="INM",V168="N/A",ISBLANK(V168),ISBLANK(W168),AG168="VF"),"-",
   IF('Dados da OS'!$D$8=Parâmetros!$B$3,
      IF(OR(ISBLANK(X168),ISBLANK(Z168)),"-",
         IF(AE168="L","Baixa",IF(AE168="A","Média",IF(AE168="H","Alta","-")))),
      IF('Dados da OS'!$D$8=Parâmetros!$B$4,
         IF(OR(V168="ALI",V168="AIE"),"Baixa",IF(OR(V168="EE",V168="SE",V168="CE"),"Média","-")),
         IF(OR('Dados da OS'!$D$8=Parâmetros!$B$5,'Dados da OS'!$D$8=Parâmetros!$B$6),"-"))))</f>
        <v>-</v>
      </c>
      <c r="AI168" s="83" t="str">
        <f xml:space="preserve">
IF(OR(ISBLANK(V168),ISBLANK(U168),ISBLANK(W168),V168="N/A",ISBLANK('Dados da OS'!$D$8)),"",
   IF(OR('Dados da OS'!$D$8=Parâmetros!$B$3,'Dados da OS'!$D$8=Parâmetros!$B$4),
      IF(OR(AND(V168="INM",AG168&lt;&gt;"VF"),AND(AG168="VF",V168&lt;&gt;"INM")),"",
        IF(AND(V168="INM",AG168="VF"),IF(ISBLANK(AB168),"",AF168*AB168),
        IF('Dados da OS'!$D$8=Parâmetros!$B$4,
           IF(OR(V168="CE",V168="EE"),4,IF(V168="SE",5,IF(V168="ALI",7,IF(V168="AIE",5,"")))),
        IF('Dados da OS'!$D$8=Parâmetros!$B$3,
           IF(OR(ISBLANK(X168),ISBLANK(Z168)),"",
              IF(V168="ALI",IF(AE168="L",7,IF(AE168="A",10,15)),
                 IF(V168="AIE",IF(AE168="L",5,IF(AE168="A",7,10)),
                    IF(V168="SE",IF(AE168="L",4,IF(AE168="A",5,7)),
                       IF(OR(V168="EE",V168="CE"),IF(AE168="L",3,IF(AE168="A",4,6)),""))))))))),
   IF('Dados da OS'!$D$8=Parâmetros!$B$5,
      IF(OR(AND(V168="INM",AG168&lt;&gt;"VF"),AND(AG168="VF",V168&lt;&gt;"INM")),"",
         IF(V168="INM",IF(AG168="VF",AF168*AB168,""),
            IF(V168="PE",4.6,
            IF(V168="AL",7,"")))),
   IF('Dados da OS'!$D$8=Parâmetros!$B$6,
      IF(V168="ALI",35,IF(V168="AIE",15,"")),""))
    )
)</f>
        <v/>
      </c>
      <c r="AJ168" s="82" t="str">
        <f t="shared" si="22"/>
        <v/>
      </c>
      <c r="AK168" s="84"/>
      <c r="AL168" s="85" t="s">
        <v>21</v>
      </c>
      <c r="AM168" s="86"/>
      <c r="AN168" s="85"/>
      <c r="AO168" s="87"/>
      <c r="AP168" s="85"/>
      <c r="AQ168" s="86"/>
      <c r="AR168" s="85"/>
    </row>
    <row r="169" spans="1:44" ht="15.75" customHeight="1">
      <c r="A169" s="54"/>
      <c r="B169" s="100"/>
      <c r="C169" s="55"/>
      <c r="D169" s="55"/>
      <c r="E169" s="56"/>
      <c r="F169" s="55"/>
      <c r="G169" s="56"/>
      <c r="H169" s="55"/>
      <c r="I169" s="64"/>
      <c r="J169" s="57" t="str">
        <f t="shared" si="17"/>
        <v/>
      </c>
      <c r="K169" s="57" t="str">
        <f t="shared" si="18"/>
        <v/>
      </c>
      <c r="L169" s="57" t="str">
        <f xml:space="preserve">
IF(OR('Dados da OS'!$D$8=Parâmetros!$B$3,'Dados da OS'!$D$8=Parâmetros!$B$4),
  IF(OR(ISBLANK(D169),ISBLANK(F169)),
     IF(OR(B169="ALI",B169="AIE"),"L",IF(ISBLANK(B169),"","A")),
     IF(B169="EE",IF(F169&gt;=3,IF(D169&gt;=5,"H","A"),
     IF(F169&gt;=2,IF(D169&gt;=16,"H",IF(D169&lt;=4,"L","A")),IF(D169&lt;=15,"L","A"))),
     IF(OR(B169="SE",B169="CE"),IF(F169&gt;=4,IF(D169&gt;=6,"H","A"),IF(F169&gt;=2,IF(D169&gt;=20,"H",IF(D169&lt;=5,"L","A")),IF(D169&lt;=19,"L","A"))),
     IF(OR(B169="ALI",B169="AIE"),IF(F169&gt;=6,IF(D169&gt;=20,"H","A"),IF(F169&gt;=2,IF(D169&gt;=51,"H",IF(D169&lt;=19,"L","A")),IF(D169&lt;=50,"L","A"))))))),
IF('Dados da OS'!$D$8=Parâmetros!$B$6,"Indicativa",
IF('Dados da OS'!$D$8=Parâmetros!$B$5,"PFS","")))</f>
        <v/>
      </c>
      <c r="M169" s="57">
        <f>IFERROR(VLOOKUP(C169,'Fatores de Impacto e INMs'!$A$3:$D$32,3,0),1)</f>
        <v>1</v>
      </c>
      <c r="N169" s="57">
        <f>IFERROR(VLOOKUP(C169,'Fatores de Impacto e INMs'!$A$3:$E$32,5,0),1)</f>
        <v>1</v>
      </c>
      <c r="O169" s="63" t="str">
        <f xml:space="preserve">
IF(OR('Dados da OS'!$D$8="Selecione o tipo da contagem",ISBLANK('Dados da OS'!$D$8),B169="INM",B169="N/A",ISBLANK(B169),ISBLANK(C169),N169="VF"),"-",
   IF('Dados da OS'!$D$8=Parâmetros!$B$3,
      IF(OR(ISBLANK(D169),ISBLANK(F169)),"-",
         IF(L169="L","Baixa",IF(L169="A","Média",IF(L169="H","Alta","-")))),
      IF('Dados da OS'!$D$8=Parâmetros!$B$4,
         IF(OR(B169="ALI",B169="AIE"),"Baixa",IF(OR(B169="EE",B169="SE",B169="CE"),"Média","-")),
         IF(OR('Dados da OS'!$D$8=Parâmetros!$B$5,'Dados da OS'!$D$8=Parâmetros!$B$6),"-"))))</f>
        <v>-</v>
      </c>
      <c r="P169" s="59" t="str">
        <f xml:space="preserve">
IF(OR(ISBLANK(B169),ISBLANK(C169),B169="N/A",ISBLANK('Dados da OS'!$D$8)),"",
   IF(OR('Dados da OS'!$D$8=Parâmetros!$B$3,'Dados da OS'!$D$8=Parâmetros!$B$4),
      IF(OR(AND(B169="INM",N169&lt;&gt;"VF"),AND(N169="VF",B169&lt;&gt;"INM")),"",
        IF(AND(B169="INM",N169="VF"),IF(ISBLANK(H169),"",M169*H169),
        IF('Dados da OS'!$D$8=Parâmetros!$B$4,
           IF(OR(B169="CE",B169="EE"),4,IF(B169="SE",5,IF(B169="ALI",7,IF(B169="AIE",5,"")))),
        IF('Dados da OS'!$D$8=Parâmetros!$B$3,
           IF(OR(ISBLANK(D169),ISBLANK(F169)),"",
              IF(B169="ALI",IF(L169="L",7,IF(L169="A",10,15)),
                 IF(B169="AIE",IF(L169="L",5,IF(L169="A",7,10)),
                    IF(B169="SE",IF(L169="L",4,IF(L169="A",5,7)),
                       IF(OR(B169="EE",B169="CE"),IF(L169="L",3,IF(L169="A",4,6)),""))))))))),
   IF('Dados da OS'!$D$8=Parâmetros!$B$5,
      IF(OR(AND(B169="INM",N169&lt;&gt;"VF"),AND(N169="VF",B169&lt;&gt;"INM")),"",
         IF(B169="INM",IF(N169="VF",M169*H169,""),
            IF(B169="PE",4.6,
            IF(B169="AL",7,"")))),
   IF('Dados da OS'!$D$8=Parâmetros!$B$6,
      IF(B169="ALI",35,IF(B169="AIE",15,"")),""))
    )
)</f>
        <v/>
      </c>
      <c r="Q169" s="60" t="str">
        <f t="shared" si="19"/>
        <v/>
      </c>
      <c r="R169" s="61"/>
      <c r="S169" s="62"/>
      <c r="T169" s="80" t="s">
        <v>21</v>
      </c>
      <c r="U169" s="81"/>
      <c r="V169" s="99"/>
      <c r="W169" s="55"/>
      <c r="X169" s="55"/>
      <c r="Y169" s="56"/>
      <c r="Z169" s="55"/>
      <c r="AA169" s="56"/>
      <c r="AB169" s="55"/>
      <c r="AC169" s="57" t="str">
        <f t="shared" si="20"/>
        <v/>
      </c>
      <c r="AD169" s="57" t="str">
        <f t="shared" si="21"/>
        <v/>
      </c>
      <c r="AE169" s="57" t="str">
        <f xml:space="preserve">
IF(OR('Dados da OS'!$D$8=Parâmetros!$B$3,'Dados da OS'!$D$8=Parâmetros!$B$4),
  IF(OR(ISBLANK(X169),ISBLANK(Z169)),
     IF(OR(V169="ALI",V169="AIE"),"L",IF(ISBLANK(V169),"","A")),
     IF(V169="EE",IF(Z169&gt;=3,IF(X169&gt;=5,"H","A"),
     IF(Z169&gt;=2,IF(X169&gt;=16,"H",IF(X169&lt;=4,"L","A")),IF(X169&lt;=15,"L","A"))),
     IF(OR(V169="SE",V169="CE"),IF(Z169&gt;=4,IF(X169&gt;=6,"H","A"),IF(Z169&gt;=2,IF(X169&gt;=20,"H",IF(X169&lt;=5,"L","A")),IF(X169&lt;=19,"L","A"))),
     IF(OR(V169="ALI",V169="AIE"),IF(Z169&gt;=6,IF(X169&gt;=20,"H","A"),IF(Z169&gt;=2,IF(X169&gt;=51,"H",IF(X169&lt;=19,"L","A")),IF(X169&lt;=50,"L","A"))))))),
IF('Dados da OS'!$D$8=Parâmetros!$B$6,"Indicativa",
IF('Dados da OS'!$D$8=Parâmetros!$B$5,"PFS","")))</f>
        <v/>
      </c>
      <c r="AF169" s="57">
        <f>IFERROR(VLOOKUP(W169,'Fatores de Impacto e INMs'!$A$3:$D$32,3,0),1)</f>
        <v>1</v>
      </c>
      <c r="AG169" s="57">
        <f>IFERROR(VLOOKUP(W169,'Fatores de Impacto e INMs'!$A$3:$E$32,5,0),1)</f>
        <v>1</v>
      </c>
      <c r="AH169" s="82" t="str">
        <f xml:space="preserve">
IF(OR('Dados da OS'!$D$8="Selecione o tipo da contagem",ISBLANK('Dados da OS'!$D$8),V169="INM",V169="N/A",ISBLANK(V169),ISBLANK(W169),AG169="VF"),"-",
   IF('Dados da OS'!$D$8=Parâmetros!$B$3,
      IF(OR(ISBLANK(X169),ISBLANK(Z169)),"-",
         IF(AE169="L","Baixa",IF(AE169="A","Média",IF(AE169="H","Alta","-")))),
      IF('Dados da OS'!$D$8=Parâmetros!$B$4,
         IF(OR(V169="ALI",V169="AIE"),"Baixa",IF(OR(V169="EE",V169="SE",V169="CE"),"Média","-")),
         IF(OR('Dados da OS'!$D$8=Parâmetros!$B$5,'Dados da OS'!$D$8=Parâmetros!$B$6),"-"))))</f>
        <v>-</v>
      </c>
      <c r="AI169" s="83" t="str">
        <f xml:space="preserve">
IF(OR(ISBLANK(V169),ISBLANK(U169),ISBLANK(W169),V169="N/A",ISBLANK('Dados da OS'!$D$8)),"",
   IF(OR('Dados da OS'!$D$8=Parâmetros!$B$3,'Dados da OS'!$D$8=Parâmetros!$B$4),
      IF(OR(AND(V169="INM",AG169&lt;&gt;"VF"),AND(AG169="VF",V169&lt;&gt;"INM")),"",
        IF(AND(V169="INM",AG169="VF"),IF(ISBLANK(AB169),"",AF169*AB169),
        IF('Dados da OS'!$D$8=Parâmetros!$B$4,
           IF(OR(V169="CE",V169="EE"),4,IF(V169="SE",5,IF(V169="ALI",7,IF(V169="AIE",5,"")))),
        IF('Dados da OS'!$D$8=Parâmetros!$B$3,
           IF(OR(ISBLANK(X169),ISBLANK(Z169)),"",
              IF(V169="ALI",IF(AE169="L",7,IF(AE169="A",10,15)),
                 IF(V169="AIE",IF(AE169="L",5,IF(AE169="A",7,10)),
                    IF(V169="SE",IF(AE169="L",4,IF(AE169="A",5,7)),
                       IF(OR(V169="EE",V169="CE"),IF(AE169="L",3,IF(AE169="A",4,6)),""))))))))),
   IF('Dados da OS'!$D$8=Parâmetros!$B$5,
      IF(OR(AND(V169="INM",AG169&lt;&gt;"VF"),AND(AG169="VF",V169&lt;&gt;"INM")),"",
         IF(V169="INM",IF(AG169="VF",AF169*AB169,""),
            IF(V169="PE",4.6,
            IF(V169="AL",7,"")))),
   IF('Dados da OS'!$D$8=Parâmetros!$B$6,
      IF(V169="ALI",35,IF(V169="AIE",15,"")),""))
    )
)</f>
        <v/>
      </c>
      <c r="AJ169" s="82" t="str">
        <f t="shared" si="22"/>
        <v/>
      </c>
      <c r="AK169" s="84"/>
      <c r="AL169" s="85" t="s">
        <v>21</v>
      </c>
      <c r="AM169" s="86"/>
      <c r="AN169" s="85"/>
      <c r="AO169" s="87"/>
      <c r="AP169" s="85"/>
      <c r="AQ169" s="86"/>
      <c r="AR169" s="85"/>
    </row>
    <row r="170" spans="1:44" ht="15.75" customHeight="1">
      <c r="A170" s="54"/>
      <c r="B170" s="100"/>
      <c r="C170" s="55"/>
      <c r="D170" s="55"/>
      <c r="E170" s="56"/>
      <c r="F170" s="55"/>
      <c r="G170" s="56"/>
      <c r="H170" s="55"/>
      <c r="I170" s="64"/>
      <c r="J170" s="57" t="str">
        <f t="shared" si="17"/>
        <v/>
      </c>
      <c r="K170" s="57" t="str">
        <f t="shared" si="18"/>
        <v/>
      </c>
      <c r="L170" s="57" t="str">
        <f xml:space="preserve">
IF(OR('Dados da OS'!$D$8=Parâmetros!$B$3,'Dados da OS'!$D$8=Parâmetros!$B$4),
  IF(OR(ISBLANK(D170),ISBLANK(F170)),
     IF(OR(B170="ALI",B170="AIE"),"L",IF(ISBLANK(B170),"","A")),
     IF(B170="EE",IF(F170&gt;=3,IF(D170&gt;=5,"H","A"),
     IF(F170&gt;=2,IF(D170&gt;=16,"H",IF(D170&lt;=4,"L","A")),IF(D170&lt;=15,"L","A"))),
     IF(OR(B170="SE",B170="CE"),IF(F170&gt;=4,IF(D170&gt;=6,"H","A"),IF(F170&gt;=2,IF(D170&gt;=20,"H",IF(D170&lt;=5,"L","A")),IF(D170&lt;=19,"L","A"))),
     IF(OR(B170="ALI",B170="AIE"),IF(F170&gt;=6,IF(D170&gt;=20,"H","A"),IF(F170&gt;=2,IF(D170&gt;=51,"H",IF(D170&lt;=19,"L","A")),IF(D170&lt;=50,"L","A"))))))),
IF('Dados da OS'!$D$8=Parâmetros!$B$6,"Indicativa",
IF('Dados da OS'!$D$8=Parâmetros!$B$5,"PFS","")))</f>
        <v/>
      </c>
      <c r="M170" s="57">
        <f>IFERROR(VLOOKUP(C170,'Fatores de Impacto e INMs'!$A$3:$D$32,3,0),1)</f>
        <v>1</v>
      </c>
      <c r="N170" s="57">
        <f>IFERROR(VLOOKUP(C170,'Fatores de Impacto e INMs'!$A$3:$E$32,5,0),1)</f>
        <v>1</v>
      </c>
      <c r="O170" s="63" t="str">
        <f xml:space="preserve">
IF(OR('Dados da OS'!$D$8="Selecione o tipo da contagem",ISBLANK('Dados da OS'!$D$8),B170="INM",B170="N/A",ISBLANK(B170),ISBLANK(C170),N170="VF"),"-",
   IF('Dados da OS'!$D$8=Parâmetros!$B$3,
      IF(OR(ISBLANK(D170),ISBLANK(F170)),"-",
         IF(L170="L","Baixa",IF(L170="A","Média",IF(L170="H","Alta","-")))),
      IF('Dados da OS'!$D$8=Parâmetros!$B$4,
         IF(OR(B170="ALI",B170="AIE"),"Baixa",IF(OR(B170="EE",B170="SE",B170="CE"),"Média","-")),
         IF(OR('Dados da OS'!$D$8=Parâmetros!$B$5,'Dados da OS'!$D$8=Parâmetros!$B$6),"-"))))</f>
        <v>-</v>
      </c>
      <c r="P170" s="59" t="str">
        <f xml:space="preserve">
IF(OR(ISBLANK(B170),ISBLANK(C170),B170="N/A",ISBLANK('Dados da OS'!$D$8)),"",
   IF(OR('Dados da OS'!$D$8=Parâmetros!$B$3,'Dados da OS'!$D$8=Parâmetros!$B$4),
      IF(OR(AND(B170="INM",N170&lt;&gt;"VF"),AND(N170="VF",B170&lt;&gt;"INM")),"",
        IF(AND(B170="INM",N170="VF"),IF(ISBLANK(H170),"",M170*H170),
        IF('Dados da OS'!$D$8=Parâmetros!$B$4,
           IF(OR(B170="CE",B170="EE"),4,IF(B170="SE",5,IF(B170="ALI",7,IF(B170="AIE",5,"")))),
        IF('Dados da OS'!$D$8=Parâmetros!$B$3,
           IF(OR(ISBLANK(D170),ISBLANK(F170)),"",
              IF(B170="ALI",IF(L170="L",7,IF(L170="A",10,15)),
                 IF(B170="AIE",IF(L170="L",5,IF(L170="A",7,10)),
                    IF(B170="SE",IF(L170="L",4,IF(L170="A",5,7)),
                       IF(OR(B170="EE",B170="CE"),IF(L170="L",3,IF(L170="A",4,6)),""))))))))),
   IF('Dados da OS'!$D$8=Parâmetros!$B$5,
      IF(OR(AND(B170="INM",N170&lt;&gt;"VF"),AND(N170="VF",B170&lt;&gt;"INM")),"",
         IF(B170="INM",IF(N170="VF",M170*H170,""),
            IF(B170="PE",4.6,
            IF(B170="AL",7,"")))),
   IF('Dados da OS'!$D$8=Parâmetros!$B$6,
      IF(B170="ALI",35,IF(B170="AIE",15,"")),""))
    )
)</f>
        <v/>
      </c>
      <c r="Q170" s="60" t="str">
        <f t="shared" si="19"/>
        <v/>
      </c>
      <c r="R170" s="61"/>
      <c r="S170" s="62"/>
      <c r="T170" s="80" t="s">
        <v>21</v>
      </c>
      <c r="U170" s="81"/>
      <c r="V170" s="99"/>
      <c r="W170" s="55"/>
      <c r="X170" s="55"/>
      <c r="Y170" s="56"/>
      <c r="Z170" s="55"/>
      <c r="AA170" s="56"/>
      <c r="AB170" s="55"/>
      <c r="AC170" s="57" t="str">
        <f t="shared" si="20"/>
        <v/>
      </c>
      <c r="AD170" s="57" t="str">
        <f t="shared" si="21"/>
        <v/>
      </c>
      <c r="AE170" s="57" t="str">
        <f xml:space="preserve">
IF(OR('Dados da OS'!$D$8=Parâmetros!$B$3,'Dados da OS'!$D$8=Parâmetros!$B$4),
  IF(OR(ISBLANK(X170),ISBLANK(Z170)),
     IF(OR(V170="ALI",V170="AIE"),"L",IF(ISBLANK(V170),"","A")),
     IF(V170="EE",IF(Z170&gt;=3,IF(X170&gt;=5,"H","A"),
     IF(Z170&gt;=2,IF(X170&gt;=16,"H",IF(X170&lt;=4,"L","A")),IF(X170&lt;=15,"L","A"))),
     IF(OR(V170="SE",V170="CE"),IF(Z170&gt;=4,IF(X170&gt;=6,"H","A"),IF(Z170&gt;=2,IF(X170&gt;=20,"H",IF(X170&lt;=5,"L","A")),IF(X170&lt;=19,"L","A"))),
     IF(OR(V170="ALI",V170="AIE"),IF(Z170&gt;=6,IF(X170&gt;=20,"H","A"),IF(Z170&gt;=2,IF(X170&gt;=51,"H",IF(X170&lt;=19,"L","A")),IF(X170&lt;=50,"L","A"))))))),
IF('Dados da OS'!$D$8=Parâmetros!$B$6,"Indicativa",
IF('Dados da OS'!$D$8=Parâmetros!$B$5,"PFS","")))</f>
        <v/>
      </c>
      <c r="AF170" s="57">
        <f>IFERROR(VLOOKUP(W170,'Fatores de Impacto e INMs'!$A$3:$D$32,3,0),1)</f>
        <v>1</v>
      </c>
      <c r="AG170" s="57">
        <f>IFERROR(VLOOKUP(W170,'Fatores de Impacto e INMs'!$A$3:$E$32,5,0),1)</f>
        <v>1</v>
      </c>
      <c r="AH170" s="82" t="str">
        <f xml:space="preserve">
IF(OR('Dados da OS'!$D$8="Selecione o tipo da contagem",ISBLANK('Dados da OS'!$D$8),V170="INM",V170="N/A",ISBLANK(V170),ISBLANK(W170),AG170="VF"),"-",
   IF('Dados da OS'!$D$8=Parâmetros!$B$3,
      IF(OR(ISBLANK(X170),ISBLANK(Z170)),"-",
         IF(AE170="L","Baixa",IF(AE170="A","Média",IF(AE170="H","Alta","-")))),
      IF('Dados da OS'!$D$8=Parâmetros!$B$4,
         IF(OR(V170="ALI",V170="AIE"),"Baixa",IF(OR(V170="EE",V170="SE",V170="CE"),"Média","-")),
         IF(OR('Dados da OS'!$D$8=Parâmetros!$B$5,'Dados da OS'!$D$8=Parâmetros!$B$6),"-"))))</f>
        <v>-</v>
      </c>
      <c r="AI170" s="83" t="str">
        <f xml:space="preserve">
IF(OR(ISBLANK(V170),ISBLANK(U170),ISBLANK(W170),V170="N/A",ISBLANK('Dados da OS'!$D$8)),"",
   IF(OR('Dados da OS'!$D$8=Parâmetros!$B$3,'Dados da OS'!$D$8=Parâmetros!$B$4),
      IF(OR(AND(V170="INM",AG170&lt;&gt;"VF"),AND(AG170="VF",V170&lt;&gt;"INM")),"",
        IF(AND(V170="INM",AG170="VF"),IF(ISBLANK(AB170),"",AF170*AB170),
        IF('Dados da OS'!$D$8=Parâmetros!$B$4,
           IF(OR(V170="CE",V170="EE"),4,IF(V170="SE",5,IF(V170="ALI",7,IF(V170="AIE",5,"")))),
        IF('Dados da OS'!$D$8=Parâmetros!$B$3,
           IF(OR(ISBLANK(X170),ISBLANK(Z170)),"",
              IF(V170="ALI",IF(AE170="L",7,IF(AE170="A",10,15)),
                 IF(V170="AIE",IF(AE170="L",5,IF(AE170="A",7,10)),
                    IF(V170="SE",IF(AE170="L",4,IF(AE170="A",5,7)),
                       IF(OR(V170="EE",V170="CE"),IF(AE170="L",3,IF(AE170="A",4,6)),""))))))))),
   IF('Dados da OS'!$D$8=Parâmetros!$B$5,
      IF(OR(AND(V170="INM",AG170&lt;&gt;"VF"),AND(AG170="VF",V170&lt;&gt;"INM")),"",
         IF(V170="INM",IF(AG170="VF",AF170*AB170,""),
            IF(V170="PE",4.6,
            IF(V170="AL",7,"")))),
   IF('Dados da OS'!$D$8=Parâmetros!$B$6,
      IF(V170="ALI",35,IF(V170="AIE",15,"")),""))
    )
)</f>
        <v/>
      </c>
      <c r="AJ170" s="82" t="str">
        <f t="shared" si="22"/>
        <v/>
      </c>
      <c r="AK170" s="84"/>
      <c r="AL170" s="85" t="s">
        <v>21</v>
      </c>
      <c r="AM170" s="86"/>
      <c r="AN170" s="85"/>
      <c r="AO170" s="87"/>
      <c r="AP170" s="85"/>
      <c r="AQ170" s="86"/>
      <c r="AR170" s="85"/>
    </row>
    <row r="171" spans="1:44" ht="15.75" customHeight="1">
      <c r="A171" s="54"/>
      <c r="B171" s="100"/>
      <c r="C171" s="55"/>
      <c r="D171" s="55"/>
      <c r="E171" s="56"/>
      <c r="F171" s="55"/>
      <c r="G171" s="56"/>
      <c r="H171" s="55"/>
      <c r="I171" s="64"/>
      <c r="J171" s="57" t="str">
        <f t="shared" si="17"/>
        <v/>
      </c>
      <c r="K171" s="57" t="str">
        <f t="shared" si="18"/>
        <v/>
      </c>
      <c r="L171" s="57" t="str">
        <f xml:space="preserve">
IF(OR('Dados da OS'!$D$8=Parâmetros!$B$3,'Dados da OS'!$D$8=Parâmetros!$B$4),
  IF(OR(ISBLANK(D171),ISBLANK(F171)),
     IF(OR(B171="ALI",B171="AIE"),"L",IF(ISBLANK(B171),"","A")),
     IF(B171="EE",IF(F171&gt;=3,IF(D171&gt;=5,"H","A"),
     IF(F171&gt;=2,IF(D171&gt;=16,"H",IF(D171&lt;=4,"L","A")),IF(D171&lt;=15,"L","A"))),
     IF(OR(B171="SE",B171="CE"),IF(F171&gt;=4,IF(D171&gt;=6,"H","A"),IF(F171&gt;=2,IF(D171&gt;=20,"H",IF(D171&lt;=5,"L","A")),IF(D171&lt;=19,"L","A"))),
     IF(OR(B171="ALI",B171="AIE"),IF(F171&gt;=6,IF(D171&gt;=20,"H","A"),IF(F171&gt;=2,IF(D171&gt;=51,"H",IF(D171&lt;=19,"L","A")),IF(D171&lt;=50,"L","A"))))))),
IF('Dados da OS'!$D$8=Parâmetros!$B$6,"Indicativa",
IF('Dados da OS'!$D$8=Parâmetros!$B$5,"PFS","")))</f>
        <v/>
      </c>
      <c r="M171" s="57">
        <f>IFERROR(VLOOKUP(C171,'Fatores de Impacto e INMs'!$A$3:$D$32,3,0),1)</f>
        <v>1</v>
      </c>
      <c r="N171" s="57">
        <f>IFERROR(VLOOKUP(C171,'Fatores de Impacto e INMs'!$A$3:$E$32,5,0),1)</f>
        <v>1</v>
      </c>
      <c r="O171" s="63" t="str">
        <f xml:space="preserve">
IF(OR('Dados da OS'!$D$8="Selecione o tipo da contagem",ISBLANK('Dados da OS'!$D$8),B171="INM",B171="N/A",ISBLANK(B171),ISBLANK(C171),N171="VF"),"-",
   IF('Dados da OS'!$D$8=Parâmetros!$B$3,
      IF(OR(ISBLANK(D171),ISBLANK(F171)),"-",
         IF(L171="L","Baixa",IF(L171="A","Média",IF(L171="H","Alta","-")))),
      IF('Dados da OS'!$D$8=Parâmetros!$B$4,
         IF(OR(B171="ALI",B171="AIE"),"Baixa",IF(OR(B171="EE",B171="SE",B171="CE"),"Média","-")),
         IF(OR('Dados da OS'!$D$8=Parâmetros!$B$5,'Dados da OS'!$D$8=Parâmetros!$B$6),"-"))))</f>
        <v>-</v>
      </c>
      <c r="P171" s="59" t="str">
        <f xml:space="preserve">
IF(OR(ISBLANK(B171),ISBLANK(C171),B171="N/A",ISBLANK('Dados da OS'!$D$8)),"",
   IF(OR('Dados da OS'!$D$8=Parâmetros!$B$3,'Dados da OS'!$D$8=Parâmetros!$B$4),
      IF(OR(AND(B171="INM",N171&lt;&gt;"VF"),AND(N171="VF",B171&lt;&gt;"INM")),"",
        IF(AND(B171="INM",N171="VF"),IF(ISBLANK(H171),"",M171*H171),
        IF('Dados da OS'!$D$8=Parâmetros!$B$4,
           IF(OR(B171="CE",B171="EE"),4,IF(B171="SE",5,IF(B171="ALI",7,IF(B171="AIE",5,"")))),
        IF('Dados da OS'!$D$8=Parâmetros!$B$3,
           IF(OR(ISBLANK(D171),ISBLANK(F171)),"",
              IF(B171="ALI",IF(L171="L",7,IF(L171="A",10,15)),
                 IF(B171="AIE",IF(L171="L",5,IF(L171="A",7,10)),
                    IF(B171="SE",IF(L171="L",4,IF(L171="A",5,7)),
                       IF(OR(B171="EE",B171="CE"),IF(L171="L",3,IF(L171="A",4,6)),""))))))))),
   IF('Dados da OS'!$D$8=Parâmetros!$B$5,
      IF(OR(AND(B171="INM",N171&lt;&gt;"VF"),AND(N171="VF",B171&lt;&gt;"INM")),"",
         IF(B171="INM",IF(N171="VF",M171*H171,""),
            IF(B171="PE",4.6,
            IF(B171="AL",7,"")))),
   IF('Dados da OS'!$D$8=Parâmetros!$B$6,
      IF(B171="ALI",35,IF(B171="AIE",15,"")),""))
    )
)</f>
        <v/>
      </c>
      <c r="Q171" s="60" t="str">
        <f t="shared" si="19"/>
        <v/>
      </c>
      <c r="R171" s="61"/>
      <c r="S171" s="62"/>
      <c r="T171" s="80" t="s">
        <v>21</v>
      </c>
      <c r="U171" s="81"/>
      <c r="V171" s="99"/>
      <c r="W171" s="55"/>
      <c r="X171" s="55"/>
      <c r="Y171" s="56"/>
      <c r="Z171" s="55"/>
      <c r="AA171" s="56"/>
      <c r="AB171" s="55"/>
      <c r="AC171" s="57" t="str">
        <f t="shared" si="20"/>
        <v/>
      </c>
      <c r="AD171" s="57" t="str">
        <f t="shared" si="21"/>
        <v/>
      </c>
      <c r="AE171" s="57" t="str">
        <f xml:space="preserve">
IF(OR('Dados da OS'!$D$8=Parâmetros!$B$3,'Dados da OS'!$D$8=Parâmetros!$B$4),
  IF(OR(ISBLANK(X171),ISBLANK(Z171)),
     IF(OR(V171="ALI",V171="AIE"),"L",IF(ISBLANK(V171),"","A")),
     IF(V171="EE",IF(Z171&gt;=3,IF(X171&gt;=5,"H","A"),
     IF(Z171&gt;=2,IF(X171&gt;=16,"H",IF(X171&lt;=4,"L","A")),IF(X171&lt;=15,"L","A"))),
     IF(OR(V171="SE",V171="CE"),IF(Z171&gt;=4,IF(X171&gt;=6,"H","A"),IF(Z171&gt;=2,IF(X171&gt;=20,"H",IF(X171&lt;=5,"L","A")),IF(X171&lt;=19,"L","A"))),
     IF(OR(V171="ALI",V171="AIE"),IF(Z171&gt;=6,IF(X171&gt;=20,"H","A"),IF(Z171&gt;=2,IF(X171&gt;=51,"H",IF(X171&lt;=19,"L","A")),IF(X171&lt;=50,"L","A"))))))),
IF('Dados da OS'!$D$8=Parâmetros!$B$6,"Indicativa",
IF('Dados da OS'!$D$8=Parâmetros!$B$5,"PFS","")))</f>
        <v/>
      </c>
      <c r="AF171" s="57">
        <f>IFERROR(VLOOKUP(W171,'Fatores de Impacto e INMs'!$A$3:$D$32,3,0),1)</f>
        <v>1</v>
      </c>
      <c r="AG171" s="57">
        <f>IFERROR(VLOOKUP(W171,'Fatores de Impacto e INMs'!$A$3:$E$32,5,0),1)</f>
        <v>1</v>
      </c>
      <c r="AH171" s="82" t="str">
        <f xml:space="preserve">
IF(OR('Dados da OS'!$D$8="Selecione o tipo da contagem",ISBLANK('Dados da OS'!$D$8),V171="INM",V171="N/A",ISBLANK(V171),ISBLANK(W171),AG171="VF"),"-",
   IF('Dados da OS'!$D$8=Parâmetros!$B$3,
      IF(OR(ISBLANK(X171),ISBLANK(Z171)),"-",
         IF(AE171="L","Baixa",IF(AE171="A","Média",IF(AE171="H","Alta","-")))),
      IF('Dados da OS'!$D$8=Parâmetros!$B$4,
         IF(OR(V171="ALI",V171="AIE"),"Baixa",IF(OR(V171="EE",V171="SE",V171="CE"),"Média","-")),
         IF(OR('Dados da OS'!$D$8=Parâmetros!$B$5,'Dados da OS'!$D$8=Parâmetros!$B$6),"-"))))</f>
        <v>-</v>
      </c>
      <c r="AI171" s="83" t="str">
        <f xml:space="preserve">
IF(OR(ISBLANK(V171),ISBLANK(U171),ISBLANK(W171),V171="N/A",ISBLANK('Dados da OS'!$D$8)),"",
   IF(OR('Dados da OS'!$D$8=Parâmetros!$B$3,'Dados da OS'!$D$8=Parâmetros!$B$4),
      IF(OR(AND(V171="INM",AG171&lt;&gt;"VF"),AND(AG171="VF",V171&lt;&gt;"INM")),"",
        IF(AND(V171="INM",AG171="VF"),IF(ISBLANK(AB171),"",AF171*AB171),
        IF('Dados da OS'!$D$8=Parâmetros!$B$4,
           IF(OR(V171="CE",V171="EE"),4,IF(V171="SE",5,IF(V171="ALI",7,IF(V171="AIE",5,"")))),
        IF('Dados da OS'!$D$8=Parâmetros!$B$3,
           IF(OR(ISBLANK(X171),ISBLANK(Z171)),"",
              IF(V171="ALI",IF(AE171="L",7,IF(AE171="A",10,15)),
                 IF(V171="AIE",IF(AE171="L",5,IF(AE171="A",7,10)),
                    IF(V171="SE",IF(AE171="L",4,IF(AE171="A",5,7)),
                       IF(OR(V171="EE",V171="CE"),IF(AE171="L",3,IF(AE171="A",4,6)),""))))))))),
   IF('Dados da OS'!$D$8=Parâmetros!$B$5,
      IF(OR(AND(V171="INM",AG171&lt;&gt;"VF"),AND(AG171="VF",V171&lt;&gt;"INM")),"",
         IF(V171="INM",IF(AG171="VF",AF171*AB171,""),
            IF(V171="PE",4.6,
            IF(V171="AL",7,"")))),
   IF('Dados da OS'!$D$8=Parâmetros!$B$6,
      IF(V171="ALI",35,IF(V171="AIE",15,"")),""))
    )
)</f>
        <v/>
      </c>
      <c r="AJ171" s="82" t="str">
        <f t="shared" si="22"/>
        <v/>
      </c>
      <c r="AK171" s="84"/>
      <c r="AL171" s="85" t="s">
        <v>21</v>
      </c>
      <c r="AM171" s="86"/>
      <c r="AN171" s="85"/>
      <c r="AO171" s="87"/>
      <c r="AP171" s="85"/>
      <c r="AQ171" s="86"/>
      <c r="AR171" s="85"/>
    </row>
    <row r="172" spans="1:44" ht="15.75" customHeight="1">
      <c r="A172" s="54"/>
      <c r="B172" s="100"/>
      <c r="C172" s="55"/>
      <c r="D172" s="55"/>
      <c r="E172" s="56"/>
      <c r="F172" s="55"/>
      <c r="G172" s="56"/>
      <c r="H172" s="55"/>
      <c r="I172" s="64"/>
      <c r="J172" s="57" t="str">
        <f t="shared" si="17"/>
        <v/>
      </c>
      <c r="K172" s="57" t="str">
        <f t="shared" si="18"/>
        <v/>
      </c>
      <c r="L172" s="57" t="str">
        <f xml:space="preserve">
IF(OR('Dados da OS'!$D$8=Parâmetros!$B$3,'Dados da OS'!$D$8=Parâmetros!$B$4),
  IF(OR(ISBLANK(D172),ISBLANK(F172)),
     IF(OR(B172="ALI",B172="AIE"),"L",IF(ISBLANK(B172),"","A")),
     IF(B172="EE",IF(F172&gt;=3,IF(D172&gt;=5,"H","A"),
     IF(F172&gt;=2,IF(D172&gt;=16,"H",IF(D172&lt;=4,"L","A")),IF(D172&lt;=15,"L","A"))),
     IF(OR(B172="SE",B172="CE"),IF(F172&gt;=4,IF(D172&gt;=6,"H","A"),IF(F172&gt;=2,IF(D172&gt;=20,"H",IF(D172&lt;=5,"L","A")),IF(D172&lt;=19,"L","A"))),
     IF(OR(B172="ALI",B172="AIE"),IF(F172&gt;=6,IF(D172&gt;=20,"H","A"),IF(F172&gt;=2,IF(D172&gt;=51,"H",IF(D172&lt;=19,"L","A")),IF(D172&lt;=50,"L","A"))))))),
IF('Dados da OS'!$D$8=Parâmetros!$B$6,"Indicativa",
IF('Dados da OS'!$D$8=Parâmetros!$B$5,"PFS","")))</f>
        <v/>
      </c>
      <c r="M172" s="57">
        <f>IFERROR(VLOOKUP(C172,'Fatores de Impacto e INMs'!$A$3:$D$32,3,0),1)</f>
        <v>1</v>
      </c>
      <c r="N172" s="57">
        <f>IFERROR(VLOOKUP(C172,'Fatores de Impacto e INMs'!$A$3:$E$32,5,0),1)</f>
        <v>1</v>
      </c>
      <c r="O172" s="63" t="str">
        <f xml:space="preserve">
IF(OR('Dados da OS'!$D$8="Selecione o tipo da contagem",ISBLANK('Dados da OS'!$D$8),B172="INM",B172="N/A",ISBLANK(B172),ISBLANK(C172),N172="VF"),"-",
   IF('Dados da OS'!$D$8=Parâmetros!$B$3,
      IF(OR(ISBLANK(D172),ISBLANK(F172)),"-",
         IF(L172="L","Baixa",IF(L172="A","Média",IF(L172="H","Alta","-")))),
      IF('Dados da OS'!$D$8=Parâmetros!$B$4,
         IF(OR(B172="ALI",B172="AIE"),"Baixa",IF(OR(B172="EE",B172="SE",B172="CE"),"Média","-")),
         IF(OR('Dados da OS'!$D$8=Parâmetros!$B$5,'Dados da OS'!$D$8=Parâmetros!$B$6),"-"))))</f>
        <v>-</v>
      </c>
      <c r="P172" s="59" t="str">
        <f xml:space="preserve">
IF(OR(ISBLANK(B172),ISBLANK(C172),B172="N/A",ISBLANK('Dados da OS'!$D$8)),"",
   IF(OR('Dados da OS'!$D$8=Parâmetros!$B$3,'Dados da OS'!$D$8=Parâmetros!$B$4),
      IF(OR(AND(B172="INM",N172&lt;&gt;"VF"),AND(N172="VF",B172&lt;&gt;"INM")),"",
        IF(AND(B172="INM",N172="VF"),IF(ISBLANK(H172),"",M172*H172),
        IF('Dados da OS'!$D$8=Parâmetros!$B$4,
           IF(OR(B172="CE",B172="EE"),4,IF(B172="SE",5,IF(B172="ALI",7,IF(B172="AIE",5,"")))),
        IF('Dados da OS'!$D$8=Parâmetros!$B$3,
           IF(OR(ISBLANK(D172),ISBLANK(F172)),"",
              IF(B172="ALI",IF(L172="L",7,IF(L172="A",10,15)),
                 IF(B172="AIE",IF(L172="L",5,IF(L172="A",7,10)),
                    IF(B172="SE",IF(L172="L",4,IF(L172="A",5,7)),
                       IF(OR(B172="EE",B172="CE"),IF(L172="L",3,IF(L172="A",4,6)),""))))))))),
   IF('Dados da OS'!$D$8=Parâmetros!$B$5,
      IF(OR(AND(B172="INM",N172&lt;&gt;"VF"),AND(N172="VF",B172&lt;&gt;"INM")),"",
         IF(B172="INM",IF(N172="VF",M172*H172,""),
            IF(B172="PE",4.6,
            IF(B172="AL",7,"")))),
   IF('Dados da OS'!$D$8=Parâmetros!$B$6,
      IF(B172="ALI",35,IF(B172="AIE",15,"")),""))
    )
)</f>
        <v/>
      </c>
      <c r="Q172" s="60" t="str">
        <f t="shared" si="19"/>
        <v/>
      </c>
      <c r="R172" s="61"/>
      <c r="S172" s="62"/>
      <c r="T172" s="80" t="s">
        <v>21</v>
      </c>
      <c r="U172" s="81"/>
      <c r="V172" s="99"/>
      <c r="W172" s="55"/>
      <c r="X172" s="55"/>
      <c r="Y172" s="56"/>
      <c r="Z172" s="55"/>
      <c r="AA172" s="56"/>
      <c r="AB172" s="55"/>
      <c r="AC172" s="57" t="str">
        <f t="shared" si="20"/>
        <v/>
      </c>
      <c r="AD172" s="57" t="str">
        <f t="shared" si="21"/>
        <v/>
      </c>
      <c r="AE172" s="57" t="str">
        <f xml:space="preserve">
IF(OR('Dados da OS'!$D$8=Parâmetros!$B$3,'Dados da OS'!$D$8=Parâmetros!$B$4),
  IF(OR(ISBLANK(X172),ISBLANK(Z172)),
     IF(OR(V172="ALI",V172="AIE"),"L",IF(ISBLANK(V172),"","A")),
     IF(V172="EE",IF(Z172&gt;=3,IF(X172&gt;=5,"H","A"),
     IF(Z172&gt;=2,IF(X172&gt;=16,"H",IF(X172&lt;=4,"L","A")),IF(X172&lt;=15,"L","A"))),
     IF(OR(V172="SE",V172="CE"),IF(Z172&gt;=4,IF(X172&gt;=6,"H","A"),IF(Z172&gt;=2,IF(X172&gt;=20,"H",IF(X172&lt;=5,"L","A")),IF(X172&lt;=19,"L","A"))),
     IF(OR(V172="ALI",V172="AIE"),IF(Z172&gt;=6,IF(X172&gt;=20,"H","A"),IF(Z172&gt;=2,IF(X172&gt;=51,"H",IF(X172&lt;=19,"L","A")),IF(X172&lt;=50,"L","A"))))))),
IF('Dados da OS'!$D$8=Parâmetros!$B$6,"Indicativa",
IF('Dados da OS'!$D$8=Parâmetros!$B$5,"PFS","")))</f>
        <v/>
      </c>
      <c r="AF172" s="57">
        <f>IFERROR(VLOOKUP(W172,'Fatores de Impacto e INMs'!$A$3:$D$32,3,0),1)</f>
        <v>1</v>
      </c>
      <c r="AG172" s="57">
        <f>IFERROR(VLOOKUP(W172,'Fatores de Impacto e INMs'!$A$3:$E$32,5,0),1)</f>
        <v>1</v>
      </c>
      <c r="AH172" s="82" t="str">
        <f xml:space="preserve">
IF(OR('Dados da OS'!$D$8="Selecione o tipo da contagem",ISBLANK('Dados da OS'!$D$8),V172="INM",V172="N/A",ISBLANK(V172),ISBLANK(W172),AG172="VF"),"-",
   IF('Dados da OS'!$D$8=Parâmetros!$B$3,
      IF(OR(ISBLANK(X172),ISBLANK(Z172)),"-",
         IF(AE172="L","Baixa",IF(AE172="A","Média",IF(AE172="H","Alta","-")))),
      IF('Dados da OS'!$D$8=Parâmetros!$B$4,
         IF(OR(V172="ALI",V172="AIE"),"Baixa",IF(OR(V172="EE",V172="SE",V172="CE"),"Média","-")),
         IF(OR('Dados da OS'!$D$8=Parâmetros!$B$5,'Dados da OS'!$D$8=Parâmetros!$B$6),"-"))))</f>
        <v>-</v>
      </c>
      <c r="AI172" s="83" t="str">
        <f xml:space="preserve">
IF(OR(ISBLANK(V172),ISBLANK(U172),ISBLANK(W172),V172="N/A",ISBLANK('Dados da OS'!$D$8)),"",
   IF(OR('Dados da OS'!$D$8=Parâmetros!$B$3,'Dados da OS'!$D$8=Parâmetros!$B$4),
      IF(OR(AND(V172="INM",AG172&lt;&gt;"VF"),AND(AG172="VF",V172&lt;&gt;"INM")),"",
        IF(AND(V172="INM",AG172="VF"),IF(ISBLANK(AB172),"",AF172*AB172),
        IF('Dados da OS'!$D$8=Parâmetros!$B$4,
           IF(OR(V172="CE",V172="EE"),4,IF(V172="SE",5,IF(V172="ALI",7,IF(V172="AIE",5,"")))),
        IF('Dados da OS'!$D$8=Parâmetros!$B$3,
           IF(OR(ISBLANK(X172),ISBLANK(Z172)),"",
              IF(V172="ALI",IF(AE172="L",7,IF(AE172="A",10,15)),
                 IF(V172="AIE",IF(AE172="L",5,IF(AE172="A",7,10)),
                    IF(V172="SE",IF(AE172="L",4,IF(AE172="A",5,7)),
                       IF(OR(V172="EE",V172="CE"),IF(AE172="L",3,IF(AE172="A",4,6)),""))))))))),
   IF('Dados da OS'!$D$8=Parâmetros!$B$5,
      IF(OR(AND(V172="INM",AG172&lt;&gt;"VF"),AND(AG172="VF",V172&lt;&gt;"INM")),"",
         IF(V172="INM",IF(AG172="VF",AF172*AB172,""),
            IF(V172="PE",4.6,
            IF(V172="AL",7,"")))),
   IF('Dados da OS'!$D$8=Parâmetros!$B$6,
      IF(V172="ALI",35,IF(V172="AIE",15,"")),""))
    )
)</f>
        <v/>
      </c>
      <c r="AJ172" s="82" t="str">
        <f t="shared" si="22"/>
        <v/>
      </c>
      <c r="AK172" s="84"/>
      <c r="AL172" s="85" t="s">
        <v>21</v>
      </c>
      <c r="AM172" s="86"/>
      <c r="AN172" s="85"/>
      <c r="AO172" s="87"/>
      <c r="AP172" s="85"/>
      <c r="AQ172" s="86"/>
      <c r="AR172" s="85"/>
    </row>
    <row r="173" spans="1:44" ht="15.75" customHeight="1">
      <c r="A173" s="54"/>
      <c r="B173" s="100"/>
      <c r="C173" s="55"/>
      <c r="D173" s="55"/>
      <c r="E173" s="56"/>
      <c r="F173" s="55"/>
      <c r="G173" s="56"/>
      <c r="H173" s="55"/>
      <c r="I173" s="64"/>
      <c r="J173" s="57" t="str">
        <f t="shared" si="17"/>
        <v/>
      </c>
      <c r="K173" s="57" t="str">
        <f t="shared" si="18"/>
        <v/>
      </c>
      <c r="L173" s="57" t="str">
        <f xml:space="preserve">
IF(OR('Dados da OS'!$D$8=Parâmetros!$B$3,'Dados da OS'!$D$8=Parâmetros!$B$4),
  IF(OR(ISBLANK(D173),ISBLANK(F173)),
     IF(OR(B173="ALI",B173="AIE"),"L",IF(ISBLANK(B173),"","A")),
     IF(B173="EE",IF(F173&gt;=3,IF(D173&gt;=5,"H","A"),
     IF(F173&gt;=2,IF(D173&gt;=16,"H",IF(D173&lt;=4,"L","A")),IF(D173&lt;=15,"L","A"))),
     IF(OR(B173="SE",B173="CE"),IF(F173&gt;=4,IF(D173&gt;=6,"H","A"),IF(F173&gt;=2,IF(D173&gt;=20,"H",IF(D173&lt;=5,"L","A")),IF(D173&lt;=19,"L","A"))),
     IF(OR(B173="ALI",B173="AIE"),IF(F173&gt;=6,IF(D173&gt;=20,"H","A"),IF(F173&gt;=2,IF(D173&gt;=51,"H",IF(D173&lt;=19,"L","A")),IF(D173&lt;=50,"L","A"))))))),
IF('Dados da OS'!$D$8=Parâmetros!$B$6,"Indicativa",
IF('Dados da OS'!$D$8=Parâmetros!$B$5,"PFS","")))</f>
        <v/>
      </c>
      <c r="M173" s="57">
        <f>IFERROR(VLOOKUP(C173,'Fatores de Impacto e INMs'!$A$3:$D$32,3,0),1)</f>
        <v>1</v>
      </c>
      <c r="N173" s="57">
        <f>IFERROR(VLOOKUP(C173,'Fatores de Impacto e INMs'!$A$3:$E$32,5,0),1)</f>
        <v>1</v>
      </c>
      <c r="O173" s="63" t="str">
        <f xml:space="preserve">
IF(OR('Dados da OS'!$D$8="Selecione o tipo da contagem",ISBLANK('Dados da OS'!$D$8),B173="INM",B173="N/A",ISBLANK(B173),ISBLANK(C173),N173="VF"),"-",
   IF('Dados da OS'!$D$8=Parâmetros!$B$3,
      IF(OR(ISBLANK(D173),ISBLANK(F173)),"-",
         IF(L173="L","Baixa",IF(L173="A","Média",IF(L173="H","Alta","-")))),
      IF('Dados da OS'!$D$8=Parâmetros!$B$4,
         IF(OR(B173="ALI",B173="AIE"),"Baixa",IF(OR(B173="EE",B173="SE",B173="CE"),"Média","-")),
         IF(OR('Dados da OS'!$D$8=Parâmetros!$B$5,'Dados da OS'!$D$8=Parâmetros!$B$6),"-"))))</f>
        <v>-</v>
      </c>
      <c r="P173" s="59" t="str">
        <f xml:space="preserve">
IF(OR(ISBLANK(B173),ISBLANK(C173),B173="N/A",ISBLANK('Dados da OS'!$D$8)),"",
   IF(OR('Dados da OS'!$D$8=Parâmetros!$B$3,'Dados da OS'!$D$8=Parâmetros!$B$4),
      IF(OR(AND(B173="INM",N173&lt;&gt;"VF"),AND(N173="VF",B173&lt;&gt;"INM")),"",
        IF(AND(B173="INM",N173="VF"),IF(ISBLANK(H173),"",M173*H173),
        IF('Dados da OS'!$D$8=Parâmetros!$B$4,
           IF(OR(B173="CE",B173="EE"),4,IF(B173="SE",5,IF(B173="ALI",7,IF(B173="AIE",5,"")))),
        IF('Dados da OS'!$D$8=Parâmetros!$B$3,
           IF(OR(ISBLANK(D173),ISBLANK(F173)),"",
              IF(B173="ALI",IF(L173="L",7,IF(L173="A",10,15)),
                 IF(B173="AIE",IF(L173="L",5,IF(L173="A",7,10)),
                    IF(B173="SE",IF(L173="L",4,IF(L173="A",5,7)),
                       IF(OR(B173="EE",B173="CE"),IF(L173="L",3,IF(L173="A",4,6)),""))))))))),
   IF('Dados da OS'!$D$8=Parâmetros!$B$5,
      IF(OR(AND(B173="INM",N173&lt;&gt;"VF"),AND(N173="VF",B173&lt;&gt;"INM")),"",
         IF(B173="INM",IF(N173="VF",M173*H173,""),
            IF(B173="PE",4.6,
            IF(B173="AL",7,"")))),
   IF('Dados da OS'!$D$8=Parâmetros!$B$6,
      IF(B173="ALI",35,IF(B173="AIE",15,"")),""))
    )
)</f>
        <v/>
      </c>
      <c r="Q173" s="60" t="str">
        <f t="shared" si="19"/>
        <v/>
      </c>
      <c r="R173" s="61"/>
      <c r="S173" s="62"/>
      <c r="T173" s="80" t="s">
        <v>21</v>
      </c>
      <c r="U173" s="81"/>
      <c r="V173" s="99"/>
      <c r="W173" s="55"/>
      <c r="X173" s="55"/>
      <c r="Y173" s="56"/>
      <c r="Z173" s="55"/>
      <c r="AA173" s="56"/>
      <c r="AB173" s="55"/>
      <c r="AC173" s="57" t="str">
        <f t="shared" si="20"/>
        <v/>
      </c>
      <c r="AD173" s="57" t="str">
        <f t="shared" si="21"/>
        <v/>
      </c>
      <c r="AE173" s="57" t="str">
        <f xml:space="preserve">
IF(OR('Dados da OS'!$D$8=Parâmetros!$B$3,'Dados da OS'!$D$8=Parâmetros!$B$4),
  IF(OR(ISBLANK(X173),ISBLANK(Z173)),
     IF(OR(V173="ALI",V173="AIE"),"L",IF(ISBLANK(V173),"","A")),
     IF(V173="EE",IF(Z173&gt;=3,IF(X173&gt;=5,"H","A"),
     IF(Z173&gt;=2,IF(X173&gt;=16,"H",IF(X173&lt;=4,"L","A")),IF(X173&lt;=15,"L","A"))),
     IF(OR(V173="SE",V173="CE"),IF(Z173&gt;=4,IF(X173&gt;=6,"H","A"),IF(Z173&gt;=2,IF(X173&gt;=20,"H",IF(X173&lt;=5,"L","A")),IF(X173&lt;=19,"L","A"))),
     IF(OR(V173="ALI",V173="AIE"),IF(Z173&gt;=6,IF(X173&gt;=20,"H","A"),IF(Z173&gt;=2,IF(X173&gt;=51,"H",IF(X173&lt;=19,"L","A")),IF(X173&lt;=50,"L","A"))))))),
IF('Dados da OS'!$D$8=Parâmetros!$B$6,"Indicativa",
IF('Dados da OS'!$D$8=Parâmetros!$B$5,"PFS","")))</f>
        <v/>
      </c>
      <c r="AF173" s="57">
        <f>IFERROR(VLOOKUP(W173,'Fatores de Impacto e INMs'!$A$3:$D$32,3,0),1)</f>
        <v>1</v>
      </c>
      <c r="AG173" s="57">
        <f>IFERROR(VLOOKUP(W173,'Fatores de Impacto e INMs'!$A$3:$E$32,5,0),1)</f>
        <v>1</v>
      </c>
      <c r="AH173" s="82" t="str">
        <f xml:space="preserve">
IF(OR('Dados da OS'!$D$8="Selecione o tipo da contagem",ISBLANK('Dados da OS'!$D$8),V173="INM",V173="N/A",ISBLANK(V173),ISBLANK(W173),AG173="VF"),"-",
   IF('Dados da OS'!$D$8=Parâmetros!$B$3,
      IF(OR(ISBLANK(X173),ISBLANK(Z173)),"-",
         IF(AE173="L","Baixa",IF(AE173="A","Média",IF(AE173="H","Alta","-")))),
      IF('Dados da OS'!$D$8=Parâmetros!$B$4,
         IF(OR(V173="ALI",V173="AIE"),"Baixa",IF(OR(V173="EE",V173="SE",V173="CE"),"Média","-")),
         IF(OR('Dados da OS'!$D$8=Parâmetros!$B$5,'Dados da OS'!$D$8=Parâmetros!$B$6),"-"))))</f>
        <v>-</v>
      </c>
      <c r="AI173" s="83" t="str">
        <f xml:space="preserve">
IF(OR(ISBLANK(V173),ISBLANK(U173),ISBLANK(W173),V173="N/A",ISBLANK('Dados da OS'!$D$8)),"",
   IF(OR('Dados da OS'!$D$8=Parâmetros!$B$3,'Dados da OS'!$D$8=Parâmetros!$B$4),
      IF(OR(AND(V173="INM",AG173&lt;&gt;"VF"),AND(AG173="VF",V173&lt;&gt;"INM")),"",
        IF(AND(V173="INM",AG173="VF"),IF(ISBLANK(AB173),"",AF173*AB173),
        IF('Dados da OS'!$D$8=Parâmetros!$B$4,
           IF(OR(V173="CE",V173="EE"),4,IF(V173="SE",5,IF(V173="ALI",7,IF(V173="AIE",5,"")))),
        IF('Dados da OS'!$D$8=Parâmetros!$B$3,
           IF(OR(ISBLANK(X173),ISBLANK(Z173)),"",
              IF(V173="ALI",IF(AE173="L",7,IF(AE173="A",10,15)),
                 IF(V173="AIE",IF(AE173="L",5,IF(AE173="A",7,10)),
                    IF(V173="SE",IF(AE173="L",4,IF(AE173="A",5,7)),
                       IF(OR(V173="EE",V173="CE"),IF(AE173="L",3,IF(AE173="A",4,6)),""))))))))),
   IF('Dados da OS'!$D$8=Parâmetros!$B$5,
      IF(OR(AND(V173="INM",AG173&lt;&gt;"VF"),AND(AG173="VF",V173&lt;&gt;"INM")),"",
         IF(V173="INM",IF(AG173="VF",AF173*AB173,""),
            IF(V173="PE",4.6,
            IF(V173="AL",7,"")))),
   IF('Dados da OS'!$D$8=Parâmetros!$B$6,
      IF(V173="ALI",35,IF(V173="AIE",15,"")),""))
    )
)</f>
        <v/>
      </c>
      <c r="AJ173" s="82" t="str">
        <f t="shared" si="22"/>
        <v/>
      </c>
      <c r="AK173" s="84"/>
      <c r="AL173" s="85" t="s">
        <v>21</v>
      </c>
      <c r="AM173" s="86"/>
      <c r="AN173" s="85"/>
      <c r="AO173" s="87"/>
      <c r="AP173" s="85"/>
      <c r="AQ173" s="86"/>
      <c r="AR173" s="85"/>
    </row>
    <row r="174" spans="1:44" ht="15.75" customHeight="1">
      <c r="A174" s="54"/>
      <c r="B174" s="100"/>
      <c r="C174" s="55"/>
      <c r="D174" s="55"/>
      <c r="E174" s="56"/>
      <c r="F174" s="55"/>
      <c r="G174" s="56"/>
      <c r="H174" s="55"/>
      <c r="I174" s="64"/>
      <c r="J174" s="57" t="str">
        <f t="shared" si="17"/>
        <v/>
      </c>
      <c r="K174" s="57" t="str">
        <f t="shared" si="18"/>
        <v/>
      </c>
      <c r="L174" s="57" t="str">
        <f xml:space="preserve">
IF(OR('Dados da OS'!$D$8=Parâmetros!$B$3,'Dados da OS'!$D$8=Parâmetros!$B$4),
  IF(OR(ISBLANK(D174),ISBLANK(F174)),
     IF(OR(B174="ALI",B174="AIE"),"L",IF(ISBLANK(B174),"","A")),
     IF(B174="EE",IF(F174&gt;=3,IF(D174&gt;=5,"H","A"),
     IF(F174&gt;=2,IF(D174&gt;=16,"H",IF(D174&lt;=4,"L","A")),IF(D174&lt;=15,"L","A"))),
     IF(OR(B174="SE",B174="CE"),IF(F174&gt;=4,IF(D174&gt;=6,"H","A"),IF(F174&gt;=2,IF(D174&gt;=20,"H",IF(D174&lt;=5,"L","A")),IF(D174&lt;=19,"L","A"))),
     IF(OR(B174="ALI",B174="AIE"),IF(F174&gt;=6,IF(D174&gt;=20,"H","A"),IF(F174&gt;=2,IF(D174&gt;=51,"H",IF(D174&lt;=19,"L","A")),IF(D174&lt;=50,"L","A"))))))),
IF('Dados da OS'!$D$8=Parâmetros!$B$6,"Indicativa",
IF('Dados da OS'!$D$8=Parâmetros!$B$5,"PFS","")))</f>
        <v/>
      </c>
      <c r="M174" s="57">
        <f>IFERROR(VLOOKUP(C174,'Fatores de Impacto e INMs'!$A$3:$D$32,3,0),1)</f>
        <v>1</v>
      </c>
      <c r="N174" s="57">
        <f>IFERROR(VLOOKUP(C174,'Fatores de Impacto e INMs'!$A$3:$E$32,5,0),1)</f>
        <v>1</v>
      </c>
      <c r="O174" s="63" t="str">
        <f xml:space="preserve">
IF(OR('Dados da OS'!$D$8="Selecione o tipo da contagem",ISBLANK('Dados da OS'!$D$8),B174="INM",B174="N/A",ISBLANK(B174),ISBLANK(C174),N174="VF"),"-",
   IF('Dados da OS'!$D$8=Parâmetros!$B$3,
      IF(OR(ISBLANK(D174),ISBLANK(F174)),"-",
         IF(L174="L","Baixa",IF(L174="A","Média",IF(L174="H","Alta","-")))),
      IF('Dados da OS'!$D$8=Parâmetros!$B$4,
         IF(OR(B174="ALI",B174="AIE"),"Baixa",IF(OR(B174="EE",B174="SE",B174="CE"),"Média","-")),
         IF(OR('Dados da OS'!$D$8=Parâmetros!$B$5,'Dados da OS'!$D$8=Parâmetros!$B$6),"-"))))</f>
        <v>-</v>
      </c>
      <c r="P174" s="59" t="str">
        <f xml:space="preserve">
IF(OR(ISBLANK(B174),ISBLANK(C174),B174="N/A",ISBLANK('Dados da OS'!$D$8)),"",
   IF(OR('Dados da OS'!$D$8=Parâmetros!$B$3,'Dados da OS'!$D$8=Parâmetros!$B$4),
      IF(OR(AND(B174="INM",N174&lt;&gt;"VF"),AND(N174="VF",B174&lt;&gt;"INM")),"",
        IF(AND(B174="INM",N174="VF"),IF(ISBLANK(H174),"",M174*H174),
        IF('Dados da OS'!$D$8=Parâmetros!$B$4,
           IF(OR(B174="CE",B174="EE"),4,IF(B174="SE",5,IF(B174="ALI",7,IF(B174="AIE",5,"")))),
        IF('Dados da OS'!$D$8=Parâmetros!$B$3,
           IF(OR(ISBLANK(D174),ISBLANK(F174)),"",
              IF(B174="ALI",IF(L174="L",7,IF(L174="A",10,15)),
                 IF(B174="AIE",IF(L174="L",5,IF(L174="A",7,10)),
                    IF(B174="SE",IF(L174="L",4,IF(L174="A",5,7)),
                       IF(OR(B174="EE",B174="CE"),IF(L174="L",3,IF(L174="A",4,6)),""))))))))),
   IF('Dados da OS'!$D$8=Parâmetros!$B$5,
      IF(OR(AND(B174="INM",N174&lt;&gt;"VF"),AND(N174="VF",B174&lt;&gt;"INM")),"",
         IF(B174="INM",IF(N174="VF",M174*H174,""),
            IF(B174="PE",4.6,
            IF(B174="AL",7,"")))),
   IF('Dados da OS'!$D$8=Parâmetros!$B$6,
      IF(B174="ALI",35,IF(B174="AIE",15,"")),""))
    )
)</f>
        <v/>
      </c>
      <c r="Q174" s="60" t="str">
        <f t="shared" si="19"/>
        <v/>
      </c>
      <c r="R174" s="61"/>
      <c r="S174" s="62"/>
      <c r="T174" s="80" t="s">
        <v>21</v>
      </c>
      <c r="U174" s="81"/>
      <c r="V174" s="99"/>
      <c r="W174" s="55"/>
      <c r="X174" s="55"/>
      <c r="Y174" s="56"/>
      <c r="Z174" s="55"/>
      <c r="AA174" s="56"/>
      <c r="AB174" s="55"/>
      <c r="AC174" s="57" t="str">
        <f t="shared" si="20"/>
        <v/>
      </c>
      <c r="AD174" s="57" t="str">
        <f t="shared" si="21"/>
        <v/>
      </c>
      <c r="AE174" s="57" t="str">
        <f xml:space="preserve">
IF(OR('Dados da OS'!$D$8=Parâmetros!$B$3,'Dados da OS'!$D$8=Parâmetros!$B$4),
  IF(OR(ISBLANK(X174),ISBLANK(Z174)),
     IF(OR(V174="ALI",V174="AIE"),"L",IF(ISBLANK(V174),"","A")),
     IF(V174="EE",IF(Z174&gt;=3,IF(X174&gt;=5,"H","A"),
     IF(Z174&gt;=2,IF(X174&gt;=16,"H",IF(X174&lt;=4,"L","A")),IF(X174&lt;=15,"L","A"))),
     IF(OR(V174="SE",V174="CE"),IF(Z174&gt;=4,IF(X174&gt;=6,"H","A"),IF(Z174&gt;=2,IF(X174&gt;=20,"H",IF(X174&lt;=5,"L","A")),IF(X174&lt;=19,"L","A"))),
     IF(OR(V174="ALI",V174="AIE"),IF(Z174&gt;=6,IF(X174&gt;=20,"H","A"),IF(Z174&gt;=2,IF(X174&gt;=51,"H",IF(X174&lt;=19,"L","A")),IF(X174&lt;=50,"L","A"))))))),
IF('Dados da OS'!$D$8=Parâmetros!$B$6,"Indicativa",
IF('Dados da OS'!$D$8=Parâmetros!$B$5,"PFS","")))</f>
        <v/>
      </c>
      <c r="AF174" s="57">
        <f>IFERROR(VLOOKUP(W174,'Fatores de Impacto e INMs'!$A$3:$D$32,3,0),1)</f>
        <v>1</v>
      </c>
      <c r="AG174" s="57">
        <f>IFERROR(VLOOKUP(W174,'Fatores de Impacto e INMs'!$A$3:$E$32,5,0),1)</f>
        <v>1</v>
      </c>
      <c r="AH174" s="82" t="str">
        <f xml:space="preserve">
IF(OR('Dados da OS'!$D$8="Selecione o tipo da contagem",ISBLANK('Dados da OS'!$D$8),V174="INM",V174="N/A",ISBLANK(V174),ISBLANK(W174),AG174="VF"),"-",
   IF('Dados da OS'!$D$8=Parâmetros!$B$3,
      IF(OR(ISBLANK(X174),ISBLANK(Z174)),"-",
         IF(AE174="L","Baixa",IF(AE174="A","Média",IF(AE174="H","Alta","-")))),
      IF('Dados da OS'!$D$8=Parâmetros!$B$4,
         IF(OR(V174="ALI",V174="AIE"),"Baixa",IF(OR(V174="EE",V174="SE",V174="CE"),"Média","-")),
         IF(OR('Dados da OS'!$D$8=Parâmetros!$B$5,'Dados da OS'!$D$8=Parâmetros!$B$6),"-"))))</f>
        <v>-</v>
      </c>
      <c r="AI174" s="83" t="str">
        <f xml:space="preserve">
IF(OR(ISBLANK(V174),ISBLANK(U174),ISBLANK(W174),V174="N/A",ISBLANK('Dados da OS'!$D$8)),"",
   IF(OR('Dados da OS'!$D$8=Parâmetros!$B$3,'Dados da OS'!$D$8=Parâmetros!$B$4),
      IF(OR(AND(V174="INM",AG174&lt;&gt;"VF"),AND(AG174="VF",V174&lt;&gt;"INM")),"",
        IF(AND(V174="INM",AG174="VF"),IF(ISBLANK(AB174),"",AF174*AB174),
        IF('Dados da OS'!$D$8=Parâmetros!$B$4,
           IF(OR(V174="CE",V174="EE"),4,IF(V174="SE",5,IF(V174="ALI",7,IF(V174="AIE",5,"")))),
        IF('Dados da OS'!$D$8=Parâmetros!$B$3,
           IF(OR(ISBLANK(X174),ISBLANK(Z174)),"",
              IF(V174="ALI",IF(AE174="L",7,IF(AE174="A",10,15)),
                 IF(V174="AIE",IF(AE174="L",5,IF(AE174="A",7,10)),
                    IF(V174="SE",IF(AE174="L",4,IF(AE174="A",5,7)),
                       IF(OR(V174="EE",V174="CE"),IF(AE174="L",3,IF(AE174="A",4,6)),""))))))))),
   IF('Dados da OS'!$D$8=Parâmetros!$B$5,
      IF(OR(AND(V174="INM",AG174&lt;&gt;"VF"),AND(AG174="VF",V174&lt;&gt;"INM")),"",
         IF(V174="INM",IF(AG174="VF",AF174*AB174,""),
            IF(V174="PE",4.6,
            IF(V174="AL",7,"")))),
   IF('Dados da OS'!$D$8=Parâmetros!$B$6,
      IF(V174="ALI",35,IF(V174="AIE",15,"")),""))
    )
)</f>
        <v/>
      </c>
      <c r="AJ174" s="82" t="str">
        <f t="shared" si="22"/>
        <v/>
      </c>
      <c r="AK174" s="84"/>
      <c r="AL174" s="85" t="s">
        <v>21</v>
      </c>
      <c r="AM174" s="86"/>
      <c r="AN174" s="85"/>
      <c r="AO174" s="87"/>
      <c r="AP174" s="85"/>
      <c r="AQ174" s="86"/>
      <c r="AR174" s="85"/>
    </row>
    <row r="175" spans="1:44" ht="15.75" customHeight="1">
      <c r="A175" s="54"/>
      <c r="B175" s="100"/>
      <c r="C175" s="55"/>
      <c r="D175" s="55"/>
      <c r="E175" s="56"/>
      <c r="F175" s="55"/>
      <c r="G175" s="56"/>
      <c r="H175" s="55"/>
      <c r="I175" s="64"/>
      <c r="J175" s="57" t="str">
        <f t="shared" si="17"/>
        <v/>
      </c>
      <c r="K175" s="57" t="str">
        <f t="shared" si="18"/>
        <v/>
      </c>
      <c r="L175" s="57" t="str">
        <f xml:space="preserve">
IF(OR('Dados da OS'!$D$8=Parâmetros!$B$3,'Dados da OS'!$D$8=Parâmetros!$B$4),
  IF(OR(ISBLANK(D175),ISBLANK(F175)),
     IF(OR(B175="ALI",B175="AIE"),"L",IF(ISBLANK(B175),"","A")),
     IF(B175="EE",IF(F175&gt;=3,IF(D175&gt;=5,"H","A"),
     IF(F175&gt;=2,IF(D175&gt;=16,"H",IF(D175&lt;=4,"L","A")),IF(D175&lt;=15,"L","A"))),
     IF(OR(B175="SE",B175="CE"),IF(F175&gt;=4,IF(D175&gt;=6,"H","A"),IF(F175&gt;=2,IF(D175&gt;=20,"H",IF(D175&lt;=5,"L","A")),IF(D175&lt;=19,"L","A"))),
     IF(OR(B175="ALI",B175="AIE"),IF(F175&gt;=6,IF(D175&gt;=20,"H","A"),IF(F175&gt;=2,IF(D175&gt;=51,"H",IF(D175&lt;=19,"L","A")),IF(D175&lt;=50,"L","A"))))))),
IF('Dados da OS'!$D$8=Parâmetros!$B$6,"Indicativa",
IF('Dados da OS'!$D$8=Parâmetros!$B$5,"PFS","")))</f>
        <v/>
      </c>
      <c r="M175" s="57">
        <f>IFERROR(VLOOKUP(C175,'Fatores de Impacto e INMs'!$A$3:$D$32,3,0),1)</f>
        <v>1</v>
      </c>
      <c r="N175" s="57">
        <f>IFERROR(VLOOKUP(C175,'Fatores de Impacto e INMs'!$A$3:$E$32,5,0),1)</f>
        <v>1</v>
      </c>
      <c r="O175" s="63" t="str">
        <f xml:space="preserve">
IF(OR('Dados da OS'!$D$8="Selecione o tipo da contagem",ISBLANK('Dados da OS'!$D$8),B175="INM",B175="N/A",ISBLANK(B175),ISBLANK(C175),N175="VF"),"-",
   IF('Dados da OS'!$D$8=Parâmetros!$B$3,
      IF(OR(ISBLANK(D175),ISBLANK(F175)),"-",
         IF(L175="L","Baixa",IF(L175="A","Média",IF(L175="H","Alta","-")))),
      IF('Dados da OS'!$D$8=Parâmetros!$B$4,
         IF(OR(B175="ALI",B175="AIE"),"Baixa",IF(OR(B175="EE",B175="SE",B175="CE"),"Média","-")),
         IF(OR('Dados da OS'!$D$8=Parâmetros!$B$5,'Dados da OS'!$D$8=Parâmetros!$B$6),"-"))))</f>
        <v>-</v>
      </c>
      <c r="P175" s="59" t="str">
        <f xml:space="preserve">
IF(OR(ISBLANK(B175),ISBLANK(C175),B175="N/A",ISBLANK('Dados da OS'!$D$8)),"",
   IF(OR('Dados da OS'!$D$8=Parâmetros!$B$3,'Dados da OS'!$D$8=Parâmetros!$B$4),
      IF(OR(AND(B175="INM",N175&lt;&gt;"VF"),AND(N175="VF",B175&lt;&gt;"INM")),"",
        IF(AND(B175="INM",N175="VF"),IF(ISBLANK(H175),"",M175*H175),
        IF('Dados da OS'!$D$8=Parâmetros!$B$4,
           IF(OR(B175="CE",B175="EE"),4,IF(B175="SE",5,IF(B175="ALI",7,IF(B175="AIE",5,"")))),
        IF('Dados da OS'!$D$8=Parâmetros!$B$3,
           IF(OR(ISBLANK(D175),ISBLANK(F175)),"",
              IF(B175="ALI",IF(L175="L",7,IF(L175="A",10,15)),
                 IF(B175="AIE",IF(L175="L",5,IF(L175="A",7,10)),
                    IF(B175="SE",IF(L175="L",4,IF(L175="A",5,7)),
                       IF(OR(B175="EE",B175="CE"),IF(L175="L",3,IF(L175="A",4,6)),""))))))))),
   IF('Dados da OS'!$D$8=Parâmetros!$B$5,
      IF(OR(AND(B175="INM",N175&lt;&gt;"VF"),AND(N175="VF",B175&lt;&gt;"INM")),"",
         IF(B175="INM",IF(N175="VF",M175*H175,""),
            IF(B175="PE",4.6,
            IF(B175="AL",7,"")))),
   IF('Dados da OS'!$D$8=Parâmetros!$B$6,
      IF(B175="ALI",35,IF(B175="AIE",15,"")),""))
    )
)</f>
        <v/>
      </c>
      <c r="Q175" s="60" t="str">
        <f t="shared" si="19"/>
        <v/>
      </c>
      <c r="R175" s="61"/>
      <c r="S175" s="62"/>
      <c r="T175" s="80" t="s">
        <v>21</v>
      </c>
      <c r="U175" s="81"/>
      <c r="V175" s="99"/>
      <c r="W175" s="55"/>
      <c r="X175" s="55"/>
      <c r="Y175" s="56"/>
      <c r="Z175" s="55"/>
      <c r="AA175" s="56"/>
      <c r="AB175" s="55"/>
      <c r="AC175" s="57" t="str">
        <f t="shared" si="20"/>
        <v/>
      </c>
      <c r="AD175" s="57" t="str">
        <f t="shared" si="21"/>
        <v/>
      </c>
      <c r="AE175" s="57" t="str">
        <f xml:space="preserve">
IF(OR('Dados da OS'!$D$8=Parâmetros!$B$3,'Dados da OS'!$D$8=Parâmetros!$B$4),
  IF(OR(ISBLANK(X175),ISBLANK(Z175)),
     IF(OR(V175="ALI",V175="AIE"),"L",IF(ISBLANK(V175),"","A")),
     IF(V175="EE",IF(Z175&gt;=3,IF(X175&gt;=5,"H","A"),
     IF(Z175&gt;=2,IF(X175&gt;=16,"H",IF(X175&lt;=4,"L","A")),IF(X175&lt;=15,"L","A"))),
     IF(OR(V175="SE",V175="CE"),IF(Z175&gt;=4,IF(X175&gt;=6,"H","A"),IF(Z175&gt;=2,IF(X175&gt;=20,"H",IF(X175&lt;=5,"L","A")),IF(X175&lt;=19,"L","A"))),
     IF(OR(V175="ALI",V175="AIE"),IF(Z175&gt;=6,IF(X175&gt;=20,"H","A"),IF(Z175&gt;=2,IF(X175&gt;=51,"H",IF(X175&lt;=19,"L","A")),IF(X175&lt;=50,"L","A"))))))),
IF('Dados da OS'!$D$8=Parâmetros!$B$6,"Indicativa",
IF('Dados da OS'!$D$8=Parâmetros!$B$5,"PFS","")))</f>
        <v/>
      </c>
      <c r="AF175" s="57">
        <f>IFERROR(VLOOKUP(W175,'Fatores de Impacto e INMs'!$A$3:$D$32,3,0),1)</f>
        <v>1</v>
      </c>
      <c r="AG175" s="57">
        <f>IFERROR(VLOOKUP(W175,'Fatores de Impacto e INMs'!$A$3:$E$32,5,0),1)</f>
        <v>1</v>
      </c>
      <c r="AH175" s="82" t="str">
        <f xml:space="preserve">
IF(OR('Dados da OS'!$D$8="Selecione o tipo da contagem",ISBLANK('Dados da OS'!$D$8),V175="INM",V175="N/A",ISBLANK(V175),ISBLANK(W175),AG175="VF"),"-",
   IF('Dados da OS'!$D$8=Parâmetros!$B$3,
      IF(OR(ISBLANK(X175),ISBLANK(Z175)),"-",
         IF(AE175="L","Baixa",IF(AE175="A","Média",IF(AE175="H","Alta","-")))),
      IF('Dados da OS'!$D$8=Parâmetros!$B$4,
         IF(OR(V175="ALI",V175="AIE"),"Baixa",IF(OR(V175="EE",V175="SE",V175="CE"),"Média","-")),
         IF(OR('Dados da OS'!$D$8=Parâmetros!$B$5,'Dados da OS'!$D$8=Parâmetros!$B$6),"-"))))</f>
        <v>-</v>
      </c>
      <c r="AI175" s="83" t="str">
        <f xml:space="preserve">
IF(OR(ISBLANK(V175),ISBLANK(U175),ISBLANK(W175),V175="N/A",ISBLANK('Dados da OS'!$D$8)),"",
   IF(OR('Dados da OS'!$D$8=Parâmetros!$B$3,'Dados da OS'!$D$8=Parâmetros!$B$4),
      IF(OR(AND(V175="INM",AG175&lt;&gt;"VF"),AND(AG175="VF",V175&lt;&gt;"INM")),"",
        IF(AND(V175="INM",AG175="VF"),IF(ISBLANK(AB175),"",AF175*AB175),
        IF('Dados da OS'!$D$8=Parâmetros!$B$4,
           IF(OR(V175="CE",V175="EE"),4,IF(V175="SE",5,IF(V175="ALI",7,IF(V175="AIE",5,"")))),
        IF('Dados da OS'!$D$8=Parâmetros!$B$3,
           IF(OR(ISBLANK(X175),ISBLANK(Z175)),"",
              IF(V175="ALI",IF(AE175="L",7,IF(AE175="A",10,15)),
                 IF(V175="AIE",IF(AE175="L",5,IF(AE175="A",7,10)),
                    IF(V175="SE",IF(AE175="L",4,IF(AE175="A",5,7)),
                       IF(OR(V175="EE",V175="CE"),IF(AE175="L",3,IF(AE175="A",4,6)),""))))))))),
   IF('Dados da OS'!$D$8=Parâmetros!$B$5,
      IF(OR(AND(V175="INM",AG175&lt;&gt;"VF"),AND(AG175="VF",V175&lt;&gt;"INM")),"",
         IF(V175="INM",IF(AG175="VF",AF175*AB175,""),
            IF(V175="PE",4.6,
            IF(V175="AL",7,"")))),
   IF('Dados da OS'!$D$8=Parâmetros!$B$6,
      IF(V175="ALI",35,IF(V175="AIE",15,"")),""))
    )
)</f>
        <v/>
      </c>
      <c r="AJ175" s="82" t="str">
        <f t="shared" si="22"/>
        <v/>
      </c>
      <c r="AK175" s="84"/>
      <c r="AL175" s="85" t="s">
        <v>21</v>
      </c>
      <c r="AM175" s="86"/>
      <c r="AN175" s="85"/>
      <c r="AO175" s="87"/>
      <c r="AP175" s="85"/>
      <c r="AQ175" s="86"/>
      <c r="AR175" s="85"/>
    </row>
    <row r="176" spans="1:44" ht="15.75" customHeight="1">
      <c r="A176" s="54"/>
      <c r="B176" s="100"/>
      <c r="C176" s="55"/>
      <c r="D176" s="55"/>
      <c r="E176" s="56"/>
      <c r="F176" s="55"/>
      <c r="G176" s="56"/>
      <c r="H176" s="55"/>
      <c r="I176" s="64"/>
      <c r="J176" s="57" t="str">
        <f t="shared" si="17"/>
        <v/>
      </c>
      <c r="K176" s="57" t="str">
        <f t="shared" si="18"/>
        <v/>
      </c>
      <c r="L176" s="57" t="str">
        <f xml:space="preserve">
IF(OR('Dados da OS'!$D$8=Parâmetros!$B$3,'Dados da OS'!$D$8=Parâmetros!$B$4),
  IF(OR(ISBLANK(D176),ISBLANK(F176)),
     IF(OR(B176="ALI",B176="AIE"),"L",IF(ISBLANK(B176),"","A")),
     IF(B176="EE",IF(F176&gt;=3,IF(D176&gt;=5,"H","A"),
     IF(F176&gt;=2,IF(D176&gt;=16,"H",IF(D176&lt;=4,"L","A")),IF(D176&lt;=15,"L","A"))),
     IF(OR(B176="SE",B176="CE"),IF(F176&gt;=4,IF(D176&gt;=6,"H","A"),IF(F176&gt;=2,IF(D176&gt;=20,"H",IF(D176&lt;=5,"L","A")),IF(D176&lt;=19,"L","A"))),
     IF(OR(B176="ALI",B176="AIE"),IF(F176&gt;=6,IF(D176&gt;=20,"H","A"),IF(F176&gt;=2,IF(D176&gt;=51,"H",IF(D176&lt;=19,"L","A")),IF(D176&lt;=50,"L","A"))))))),
IF('Dados da OS'!$D$8=Parâmetros!$B$6,"Indicativa",
IF('Dados da OS'!$D$8=Parâmetros!$B$5,"PFS","")))</f>
        <v/>
      </c>
      <c r="M176" s="57">
        <f>IFERROR(VLOOKUP(C176,'Fatores de Impacto e INMs'!$A$3:$D$32,3,0),1)</f>
        <v>1</v>
      </c>
      <c r="N176" s="57">
        <f>IFERROR(VLOOKUP(C176,'Fatores de Impacto e INMs'!$A$3:$E$32,5,0),1)</f>
        <v>1</v>
      </c>
      <c r="O176" s="63" t="str">
        <f xml:space="preserve">
IF(OR('Dados da OS'!$D$8="Selecione o tipo da contagem",ISBLANK('Dados da OS'!$D$8),B176="INM",B176="N/A",ISBLANK(B176),ISBLANK(C176),N176="VF"),"-",
   IF('Dados da OS'!$D$8=Parâmetros!$B$3,
      IF(OR(ISBLANK(D176),ISBLANK(F176)),"-",
         IF(L176="L","Baixa",IF(L176="A","Média",IF(L176="H","Alta","-")))),
      IF('Dados da OS'!$D$8=Parâmetros!$B$4,
         IF(OR(B176="ALI",B176="AIE"),"Baixa",IF(OR(B176="EE",B176="SE",B176="CE"),"Média","-")),
         IF(OR('Dados da OS'!$D$8=Parâmetros!$B$5,'Dados da OS'!$D$8=Parâmetros!$B$6),"-"))))</f>
        <v>-</v>
      </c>
      <c r="P176" s="59" t="str">
        <f xml:space="preserve">
IF(OR(ISBLANK(B176),ISBLANK(C176),B176="N/A",ISBLANK('Dados da OS'!$D$8)),"",
   IF(OR('Dados da OS'!$D$8=Parâmetros!$B$3,'Dados da OS'!$D$8=Parâmetros!$B$4),
      IF(OR(AND(B176="INM",N176&lt;&gt;"VF"),AND(N176="VF",B176&lt;&gt;"INM")),"",
        IF(AND(B176="INM",N176="VF"),IF(ISBLANK(H176),"",M176*H176),
        IF('Dados da OS'!$D$8=Parâmetros!$B$4,
           IF(OR(B176="CE",B176="EE"),4,IF(B176="SE",5,IF(B176="ALI",7,IF(B176="AIE",5,"")))),
        IF('Dados da OS'!$D$8=Parâmetros!$B$3,
           IF(OR(ISBLANK(D176),ISBLANK(F176)),"",
              IF(B176="ALI",IF(L176="L",7,IF(L176="A",10,15)),
                 IF(B176="AIE",IF(L176="L",5,IF(L176="A",7,10)),
                    IF(B176="SE",IF(L176="L",4,IF(L176="A",5,7)),
                       IF(OR(B176="EE",B176="CE"),IF(L176="L",3,IF(L176="A",4,6)),""))))))))),
   IF('Dados da OS'!$D$8=Parâmetros!$B$5,
      IF(OR(AND(B176="INM",N176&lt;&gt;"VF"),AND(N176="VF",B176&lt;&gt;"INM")),"",
         IF(B176="INM",IF(N176="VF",M176*H176,""),
            IF(B176="PE",4.6,
            IF(B176="AL",7,"")))),
   IF('Dados da OS'!$D$8=Parâmetros!$B$6,
      IF(B176="ALI",35,IF(B176="AIE",15,"")),""))
    )
)</f>
        <v/>
      </c>
      <c r="Q176" s="60" t="str">
        <f t="shared" si="19"/>
        <v/>
      </c>
      <c r="R176" s="61"/>
      <c r="S176" s="62"/>
      <c r="T176" s="80" t="s">
        <v>21</v>
      </c>
      <c r="U176" s="81"/>
      <c r="V176" s="99"/>
      <c r="W176" s="55"/>
      <c r="X176" s="55"/>
      <c r="Y176" s="56"/>
      <c r="Z176" s="55"/>
      <c r="AA176" s="56"/>
      <c r="AB176" s="55"/>
      <c r="AC176" s="57" t="str">
        <f t="shared" si="20"/>
        <v/>
      </c>
      <c r="AD176" s="57" t="str">
        <f t="shared" si="21"/>
        <v/>
      </c>
      <c r="AE176" s="57" t="str">
        <f xml:space="preserve">
IF(OR('Dados da OS'!$D$8=Parâmetros!$B$3,'Dados da OS'!$D$8=Parâmetros!$B$4),
  IF(OR(ISBLANK(X176),ISBLANK(Z176)),
     IF(OR(V176="ALI",V176="AIE"),"L",IF(ISBLANK(V176),"","A")),
     IF(V176="EE",IF(Z176&gt;=3,IF(X176&gt;=5,"H","A"),
     IF(Z176&gt;=2,IF(X176&gt;=16,"H",IF(X176&lt;=4,"L","A")),IF(X176&lt;=15,"L","A"))),
     IF(OR(V176="SE",V176="CE"),IF(Z176&gt;=4,IF(X176&gt;=6,"H","A"),IF(Z176&gt;=2,IF(X176&gt;=20,"H",IF(X176&lt;=5,"L","A")),IF(X176&lt;=19,"L","A"))),
     IF(OR(V176="ALI",V176="AIE"),IF(Z176&gt;=6,IF(X176&gt;=20,"H","A"),IF(Z176&gt;=2,IF(X176&gt;=51,"H",IF(X176&lt;=19,"L","A")),IF(X176&lt;=50,"L","A"))))))),
IF('Dados da OS'!$D$8=Parâmetros!$B$6,"Indicativa",
IF('Dados da OS'!$D$8=Parâmetros!$B$5,"PFS","")))</f>
        <v/>
      </c>
      <c r="AF176" s="57">
        <f>IFERROR(VLOOKUP(W176,'Fatores de Impacto e INMs'!$A$3:$D$32,3,0),1)</f>
        <v>1</v>
      </c>
      <c r="AG176" s="57">
        <f>IFERROR(VLOOKUP(W176,'Fatores de Impacto e INMs'!$A$3:$E$32,5,0),1)</f>
        <v>1</v>
      </c>
      <c r="AH176" s="82" t="str">
        <f xml:space="preserve">
IF(OR('Dados da OS'!$D$8="Selecione o tipo da contagem",ISBLANK('Dados da OS'!$D$8),V176="INM",V176="N/A",ISBLANK(V176),ISBLANK(W176),AG176="VF"),"-",
   IF('Dados da OS'!$D$8=Parâmetros!$B$3,
      IF(OR(ISBLANK(X176),ISBLANK(Z176)),"-",
         IF(AE176="L","Baixa",IF(AE176="A","Média",IF(AE176="H","Alta","-")))),
      IF('Dados da OS'!$D$8=Parâmetros!$B$4,
         IF(OR(V176="ALI",V176="AIE"),"Baixa",IF(OR(V176="EE",V176="SE",V176="CE"),"Média","-")),
         IF(OR('Dados da OS'!$D$8=Parâmetros!$B$5,'Dados da OS'!$D$8=Parâmetros!$B$6),"-"))))</f>
        <v>-</v>
      </c>
      <c r="AI176" s="83" t="str">
        <f xml:space="preserve">
IF(OR(ISBLANK(V176),ISBLANK(U176),ISBLANK(W176),V176="N/A",ISBLANK('Dados da OS'!$D$8)),"",
   IF(OR('Dados da OS'!$D$8=Parâmetros!$B$3,'Dados da OS'!$D$8=Parâmetros!$B$4),
      IF(OR(AND(V176="INM",AG176&lt;&gt;"VF"),AND(AG176="VF",V176&lt;&gt;"INM")),"",
        IF(AND(V176="INM",AG176="VF"),IF(ISBLANK(AB176),"",AF176*AB176),
        IF('Dados da OS'!$D$8=Parâmetros!$B$4,
           IF(OR(V176="CE",V176="EE"),4,IF(V176="SE",5,IF(V176="ALI",7,IF(V176="AIE",5,"")))),
        IF('Dados da OS'!$D$8=Parâmetros!$B$3,
           IF(OR(ISBLANK(X176),ISBLANK(Z176)),"",
              IF(V176="ALI",IF(AE176="L",7,IF(AE176="A",10,15)),
                 IF(V176="AIE",IF(AE176="L",5,IF(AE176="A",7,10)),
                    IF(V176="SE",IF(AE176="L",4,IF(AE176="A",5,7)),
                       IF(OR(V176="EE",V176="CE"),IF(AE176="L",3,IF(AE176="A",4,6)),""))))))))),
   IF('Dados da OS'!$D$8=Parâmetros!$B$5,
      IF(OR(AND(V176="INM",AG176&lt;&gt;"VF"),AND(AG176="VF",V176&lt;&gt;"INM")),"",
         IF(V176="INM",IF(AG176="VF",AF176*AB176,""),
            IF(V176="PE",4.6,
            IF(V176="AL",7,"")))),
   IF('Dados da OS'!$D$8=Parâmetros!$B$6,
      IF(V176="ALI",35,IF(V176="AIE",15,"")),""))
    )
)</f>
        <v/>
      </c>
      <c r="AJ176" s="82" t="str">
        <f t="shared" si="22"/>
        <v/>
      </c>
      <c r="AK176" s="84"/>
      <c r="AL176" s="85" t="s">
        <v>21</v>
      </c>
      <c r="AM176" s="86"/>
      <c r="AN176" s="85"/>
      <c r="AO176" s="87"/>
      <c r="AP176" s="85"/>
      <c r="AQ176" s="86"/>
      <c r="AR176" s="85"/>
    </row>
    <row r="177" spans="1:44" ht="15.75" customHeight="1">
      <c r="A177" s="54"/>
      <c r="B177" s="100"/>
      <c r="C177" s="55"/>
      <c r="D177" s="55"/>
      <c r="E177" s="56"/>
      <c r="F177" s="55"/>
      <c r="G177" s="56"/>
      <c r="H177" s="55"/>
      <c r="I177" s="64"/>
      <c r="J177" s="57" t="str">
        <f t="shared" si="17"/>
        <v/>
      </c>
      <c r="K177" s="57" t="str">
        <f t="shared" si="18"/>
        <v/>
      </c>
      <c r="L177" s="57" t="str">
        <f xml:space="preserve">
IF(OR('Dados da OS'!$D$8=Parâmetros!$B$3,'Dados da OS'!$D$8=Parâmetros!$B$4),
  IF(OR(ISBLANK(D177),ISBLANK(F177)),
     IF(OR(B177="ALI",B177="AIE"),"L",IF(ISBLANK(B177),"","A")),
     IF(B177="EE",IF(F177&gt;=3,IF(D177&gt;=5,"H","A"),
     IF(F177&gt;=2,IF(D177&gt;=16,"H",IF(D177&lt;=4,"L","A")),IF(D177&lt;=15,"L","A"))),
     IF(OR(B177="SE",B177="CE"),IF(F177&gt;=4,IF(D177&gt;=6,"H","A"),IF(F177&gt;=2,IF(D177&gt;=20,"H",IF(D177&lt;=5,"L","A")),IF(D177&lt;=19,"L","A"))),
     IF(OR(B177="ALI",B177="AIE"),IF(F177&gt;=6,IF(D177&gt;=20,"H","A"),IF(F177&gt;=2,IF(D177&gt;=51,"H",IF(D177&lt;=19,"L","A")),IF(D177&lt;=50,"L","A"))))))),
IF('Dados da OS'!$D$8=Parâmetros!$B$6,"Indicativa",
IF('Dados da OS'!$D$8=Parâmetros!$B$5,"PFS","")))</f>
        <v/>
      </c>
      <c r="M177" s="57">
        <f>IFERROR(VLOOKUP(C177,'Fatores de Impacto e INMs'!$A$3:$D$32,3,0),1)</f>
        <v>1</v>
      </c>
      <c r="N177" s="57">
        <f>IFERROR(VLOOKUP(C177,'Fatores de Impacto e INMs'!$A$3:$E$32,5,0),1)</f>
        <v>1</v>
      </c>
      <c r="O177" s="63" t="str">
        <f xml:space="preserve">
IF(OR('Dados da OS'!$D$8="Selecione o tipo da contagem",ISBLANK('Dados da OS'!$D$8),B177="INM",B177="N/A",ISBLANK(B177),ISBLANK(C177),N177="VF"),"-",
   IF('Dados da OS'!$D$8=Parâmetros!$B$3,
      IF(OR(ISBLANK(D177),ISBLANK(F177)),"-",
         IF(L177="L","Baixa",IF(L177="A","Média",IF(L177="H","Alta","-")))),
      IF('Dados da OS'!$D$8=Parâmetros!$B$4,
         IF(OR(B177="ALI",B177="AIE"),"Baixa",IF(OR(B177="EE",B177="SE",B177="CE"),"Média","-")),
         IF(OR('Dados da OS'!$D$8=Parâmetros!$B$5,'Dados da OS'!$D$8=Parâmetros!$B$6),"-"))))</f>
        <v>-</v>
      </c>
      <c r="P177" s="59" t="str">
        <f xml:space="preserve">
IF(OR(ISBLANK(B177),ISBLANK(C177),B177="N/A",ISBLANK('Dados da OS'!$D$8)),"",
   IF(OR('Dados da OS'!$D$8=Parâmetros!$B$3,'Dados da OS'!$D$8=Parâmetros!$B$4),
      IF(OR(AND(B177="INM",N177&lt;&gt;"VF"),AND(N177="VF",B177&lt;&gt;"INM")),"",
        IF(AND(B177="INM",N177="VF"),IF(ISBLANK(H177),"",M177*H177),
        IF('Dados da OS'!$D$8=Parâmetros!$B$4,
           IF(OR(B177="CE",B177="EE"),4,IF(B177="SE",5,IF(B177="ALI",7,IF(B177="AIE",5,"")))),
        IF('Dados da OS'!$D$8=Parâmetros!$B$3,
           IF(OR(ISBLANK(D177),ISBLANK(F177)),"",
              IF(B177="ALI",IF(L177="L",7,IF(L177="A",10,15)),
                 IF(B177="AIE",IF(L177="L",5,IF(L177="A",7,10)),
                    IF(B177="SE",IF(L177="L",4,IF(L177="A",5,7)),
                       IF(OR(B177="EE",B177="CE"),IF(L177="L",3,IF(L177="A",4,6)),""))))))))),
   IF('Dados da OS'!$D$8=Parâmetros!$B$5,
      IF(OR(AND(B177="INM",N177&lt;&gt;"VF"),AND(N177="VF",B177&lt;&gt;"INM")),"",
         IF(B177="INM",IF(N177="VF",M177*H177,""),
            IF(B177="PE",4.6,
            IF(B177="AL",7,"")))),
   IF('Dados da OS'!$D$8=Parâmetros!$B$6,
      IF(B177="ALI",35,IF(B177="AIE",15,"")),""))
    )
)</f>
        <v/>
      </c>
      <c r="Q177" s="60" t="str">
        <f t="shared" si="19"/>
        <v/>
      </c>
      <c r="R177" s="61"/>
      <c r="S177" s="62"/>
      <c r="T177" s="80" t="s">
        <v>21</v>
      </c>
      <c r="U177" s="81"/>
      <c r="V177" s="99"/>
      <c r="W177" s="55"/>
      <c r="X177" s="55"/>
      <c r="Y177" s="56"/>
      <c r="Z177" s="55"/>
      <c r="AA177" s="56"/>
      <c r="AB177" s="55"/>
      <c r="AC177" s="57" t="str">
        <f t="shared" si="20"/>
        <v/>
      </c>
      <c r="AD177" s="57" t="str">
        <f t="shared" si="21"/>
        <v/>
      </c>
      <c r="AE177" s="57" t="str">
        <f xml:space="preserve">
IF(OR('Dados da OS'!$D$8=Parâmetros!$B$3,'Dados da OS'!$D$8=Parâmetros!$B$4),
  IF(OR(ISBLANK(X177),ISBLANK(Z177)),
     IF(OR(V177="ALI",V177="AIE"),"L",IF(ISBLANK(V177),"","A")),
     IF(V177="EE",IF(Z177&gt;=3,IF(X177&gt;=5,"H","A"),
     IF(Z177&gt;=2,IF(X177&gt;=16,"H",IF(X177&lt;=4,"L","A")),IF(X177&lt;=15,"L","A"))),
     IF(OR(V177="SE",V177="CE"),IF(Z177&gt;=4,IF(X177&gt;=6,"H","A"),IF(Z177&gt;=2,IF(X177&gt;=20,"H",IF(X177&lt;=5,"L","A")),IF(X177&lt;=19,"L","A"))),
     IF(OR(V177="ALI",V177="AIE"),IF(Z177&gt;=6,IF(X177&gt;=20,"H","A"),IF(Z177&gt;=2,IF(X177&gt;=51,"H",IF(X177&lt;=19,"L","A")),IF(X177&lt;=50,"L","A"))))))),
IF('Dados da OS'!$D$8=Parâmetros!$B$6,"Indicativa",
IF('Dados da OS'!$D$8=Parâmetros!$B$5,"PFS","")))</f>
        <v/>
      </c>
      <c r="AF177" s="57">
        <f>IFERROR(VLOOKUP(W177,'Fatores de Impacto e INMs'!$A$3:$D$32,3,0),1)</f>
        <v>1</v>
      </c>
      <c r="AG177" s="57">
        <f>IFERROR(VLOOKUP(W177,'Fatores de Impacto e INMs'!$A$3:$E$32,5,0),1)</f>
        <v>1</v>
      </c>
      <c r="AH177" s="82" t="str">
        <f xml:space="preserve">
IF(OR('Dados da OS'!$D$8="Selecione o tipo da contagem",ISBLANK('Dados da OS'!$D$8),V177="INM",V177="N/A",ISBLANK(V177),ISBLANK(W177),AG177="VF"),"-",
   IF('Dados da OS'!$D$8=Parâmetros!$B$3,
      IF(OR(ISBLANK(X177),ISBLANK(Z177)),"-",
         IF(AE177="L","Baixa",IF(AE177="A","Média",IF(AE177="H","Alta","-")))),
      IF('Dados da OS'!$D$8=Parâmetros!$B$4,
         IF(OR(V177="ALI",V177="AIE"),"Baixa",IF(OR(V177="EE",V177="SE",V177="CE"),"Média","-")),
         IF(OR('Dados da OS'!$D$8=Parâmetros!$B$5,'Dados da OS'!$D$8=Parâmetros!$B$6),"-"))))</f>
        <v>-</v>
      </c>
      <c r="AI177" s="83" t="str">
        <f xml:space="preserve">
IF(OR(ISBLANK(V177),ISBLANK(U177),ISBLANK(W177),V177="N/A",ISBLANK('Dados da OS'!$D$8)),"",
   IF(OR('Dados da OS'!$D$8=Parâmetros!$B$3,'Dados da OS'!$D$8=Parâmetros!$B$4),
      IF(OR(AND(V177="INM",AG177&lt;&gt;"VF"),AND(AG177="VF",V177&lt;&gt;"INM")),"",
        IF(AND(V177="INM",AG177="VF"),IF(ISBLANK(AB177),"",AF177*AB177),
        IF('Dados da OS'!$D$8=Parâmetros!$B$4,
           IF(OR(V177="CE",V177="EE"),4,IF(V177="SE",5,IF(V177="ALI",7,IF(V177="AIE",5,"")))),
        IF('Dados da OS'!$D$8=Parâmetros!$B$3,
           IF(OR(ISBLANK(X177),ISBLANK(Z177)),"",
              IF(V177="ALI",IF(AE177="L",7,IF(AE177="A",10,15)),
                 IF(V177="AIE",IF(AE177="L",5,IF(AE177="A",7,10)),
                    IF(V177="SE",IF(AE177="L",4,IF(AE177="A",5,7)),
                       IF(OR(V177="EE",V177="CE"),IF(AE177="L",3,IF(AE177="A",4,6)),""))))))))),
   IF('Dados da OS'!$D$8=Parâmetros!$B$5,
      IF(OR(AND(V177="INM",AG177&lt;&gt;"VF"),AND(AG177="VF",V177&lt;&gt;"INM")),"",
         IF(V177="INM",IF(AG177="VF",AF177*AB177,""),
            IF(V177="PE",4.6,
            IF(V177="AL",7,"")))),
   IF('Dados da OS'!$D$8=Parâmetros!$B$6,
      IF(V177="ALI",35,IF(V177="AIE",15,"")),""))
    )
)</f>
        <v/>
      </c>
      <c r="AJ177" s="82" t="str">
        <f t="shared" si="22"/>
        <v/>
      </c>
      <c r="AK177" s="84"/>
      <c r="AL177" s="85" t="s">
        <v>21</v>
      </c>
      <c r="AM177" s="86"/>
      <c r="AN177" s="85"/>
      <c r="AO177" s="87"/>
      <c r="AP177" s="85"/>
      <c r="AQ177" s="86"/>
      <c r="AR177" s="85"/>
    </row>
    <row r="178" spans="1:44" ht="15.75" customHeight="1">
      <c r="A178" s="54"/>
      <c r="B178" s="100"/>
      <c r="C178" s="55"/>
      <c r="D178" s="55"/>
      <c r="E178" s="56"/>
      <c r="F178" s="55"/>
      <c r="G178" s="56"/>
      <c r="H178" s="55"/>
      <c r="I178" s="64"/>
      <c r="J178" s="57" t="str">
        <f t="shared" si="17"/>
        <v/>
      </c>
      <c r="K178" s="57" t="str">
        <f t="shared" si="18"/>
        <v/>
      </c>
      <c r="L178" s="57" t="str">
        <f xml:space="preserve">
IF(OR('Dados da OS'!$D$8=Parâmetros!$B$3,'Dados da OS'!$D$8=Parâmetros!$B$4),
  IF(OR(ISBLANK(D178),ISBLANK(F178)),
     IF(OR(B178="ALI",B178="AIE"),"L",IF(ISBLANK(B178),"","A")),
     IF(B178="EE",IF(F178&gt;=3,IF(D178&gt;=5,"H","A"),
     IF(F178&gt;=2,IF(D178&gt;=16,"H",IF(D178&lt;=4,"L","A")),IF(D178&lt;=15,"L","A"))),
     IF(OR(B178="SE",B178="CE"),IF(F178&gt;=4,IF(D178&gt;=6,"H","A"),IF(F178&gt;=2,IF(D178&gt;=20,"H",IF(D178&lt;=5,"L","A")),IF(D178&lt;=19,"L","A"))),
     IF(OR(B178="ALI",B178="AIE"),IF(F178&gt;=6,IF(D178&gt;=20,"H","A"),IF(F178&gt;=2,IF(D178&gt;=51,"H",IF(D178&lt;=19,"L","A")),IF(D178&lt;=50,"L","A"))))))),
IF('Dados da OS'!$D$8=Parâmetros!$B$6,"Indicativa",
IF('Dados da OS'!$D$8=Parâmetros!$B$5,"PFS","")))</f>
        <v/>
      </c>
      <c r="M178" s="57">
        <f>IFERROR(VLOOKUP(C178,'Fatores de Impacto e INMs'!$A$3:$D$32,3,0),1)</f>
        <v>1</v>
      </c>
      <c r="N178" s="57">
        <f>IFERROR(VLOOKUP(C178,'Fatores de Impacto e INMs'!$A$3:$E$32,5,0),1)</f>
        <v>1</v>
      </c>
      <c r="O178" s="63" t="str">
        <f xml:space="preserve">
IF(OR('Dados da OS'!$D$8="Selecione o tipo da contagem",ISBLANK('Dados da OS'!$D$8),B178="INM",B178="N/A",ISBLANK(B178),ISBLANK(C178),N178="VF"),"-",
   IF('Dados da OS'!$D$8=Parâmetros!$B$3,
      IF(OR(ISBLANK(D178),ISBLANK(F178)),"-",
         IF(L178="L","Baixa",IF(L178="A","Média",IF(L178="H","Alta","-")))),
      IF('Dados da OS'!$D$8=Parâmetros!$B$4,
         IF(OR(B178="ALI",B178="AIE"),"Baixa",IF(OR(B178="EE",B178="SE",B178="CE"),"Média","-")),
         IF(OR('Dados da OS'!$D$8=Parâmetros!$B$5,'Dados da OS'!$D$8=Parâmetros!$B$6),"-"))))</f>
        <v>-</v>
      </c>
      <c r="P178" s="59" t="str">
        <f xml:space="preserve">
IF(OR(ISBLANK(B178),ISBLANK(C178),B178="N/A",ISBLANK('Dados da OS'!$D$8)),"",
   IF(OR('Dados da OS'!$D$8=Parâmetros!$B$3,'Dados da OS'!$D$8=Parâmetros!$B$4),
      IF(OR(AND(B178="INM",N178&lt;&gt;"VF"),AND(N178="VF",B178&lt;&gt;"INM")),"",
        IF(AND(B178="INM",N178="VF"),IF(ISBLANK(H178),"",M178*H178),
        IF('Dados da OS'!$D$8=Parâmetros!$B$4,
           IF(OR(B178="CE",B178="EE"),4,IF(B178="SE",5,IF(B178="ALI",7,IF(B178="AIE",5,"")))),
        IF('Dados da OS'!$D$8=Parâmetros!$B$3,
           IF(OR(ISBLANK(D178),ISBLANK(F178)),"",
              IF(B178="ALI",IF(L178="L",7,IF(L178="A",10,15)),
                 IF(B178="AIE",IF(L178="L",5,IF(L178="A",7,10)),
                    IF(B178="SE",IF(L178="L",4,IF(L178="A",5,7)),
                       IF(OR(B178="EE",B178="CE"),IF(L178="L",3,IF(L178="A",4,6)),""))))))))),
   IF('Dados da OS'!$D$8=Parâmetros!$B$5,
      IF(OR(AND(B178="INM",N178&lt;&gt;"VF"),AND(N178="VF",B178&lt;&gt;"INM")),"",
         IF(B178="INM",IF(N178="VF",M178*H178,""),
            IF(B178="PE",4.6,
            IF(B178="AL",7,"")))),
   IF('Dados da OS'!$D$8=Parâmetros!$B$6,
      IF(B178="ALI",35,IF(B178="AIE",15,"")),""))
    )
)</f>
        <v/>
      </c>
      <c r="Q178" s="60" t="str">
        <f t="shared" si="19"/>
        <v/>
      </c>
      <c r="R178" s="61"/>
      <c r="S178" s="62"/>
      <c r="T178" s="80" t="s">
        <v>21</v>
      </c>
      <c r="U178" s="81"/>
      <c r="V178" s="99"/>
      <c r="W178" s="55"/>
      <c r="X178" s="55"/>
      <c r="Y178" s="56"/>
      <c r="Z178" s="55"/>
      <c r="AA178" s="56"/>
      <c r="AB178" s="55"/>
      <c r="AC178" s="57" t="str">
        <f t="shared" si="20"/>
        <v/>
      </c>
      <c r="AD178" s="57" t="str">
        <f t="shared" si="21"/>
        <v/>
      </c>
      <c r="AE178" s="57" t="str">
        <f xml:space="preserve">
IF(OR('Dados da OS'!$D$8=Parâmetros!$B$3,'Dados da OS'!$D$8=Parâmetros!$B$4),
  IF(OR(ISBLANK(X178),ISBLANK(Z178)),
     IF(OR(V178="ALI",V178="AIE"),"L",IF(ISBLANK(V178),"","A")),
     IF(V178="EE",IF(Z178&gt;=3,IF(X178&gt;=5,"H","A"),
     IF(Z178&gt;=2,IF(X178&gt;=16,"H",IF(X178&lt;=4,"L","A")),IF(X178&lt;=15,"L","A"))),
     IF(OR(V178="SE",V178="CE"),IF(Z178&gt;=4,IF(X178&gt;=6,"H","A"),IF(Z178&gt;=2,IF(X178&gt;=20,"H",IF(X178&lt;=5,"L","A")),IF(X178&lt;=19,"L","A"))),
     IF(OR(V178="ALI",V178="AIE"),IF(Z178&gt;=6,IF(X178&gt;=20,"H","A"),IF(Z178&gt;=2,IF(X178&gt;=51,"H",IF(X178&lt;=19,"L","A")),IF(X178&lt;=50,"L","A"))))))),
IF('Dados da OS'!$D$8=Parâmetros!$B$6,"Indicativa",
IF('Dados da OS'!$D$8=Parâmetros!$B$5,"PFS","")))</f>
        <v/>
      </c>
      <c r="AF178" s="57">
        <f>IFERROR(VLOOKUP(W178,'Fatores de Impacto e INMs'!$A$3:$D$32,3,0),1)</f>
        <v>1</v>
      </c>
      <c r="AG178" s="57">
        <f>IFERROR(VLOOKUP(W178,'Fatores de Impacto e INMs'!$A$3:$E$32,5,0),1)</f>
        <v>1</v>
      </c>
      <c r="AH178" s="82" t="str">
        <f xml:space="preserve">
IF(OR('Dados da OS'!$D$8="Selecione o tipo da contagem",ISBLANK('Dados da OS'!$D$8),V178="INM",V178="N/A",ISBLANK(V178),ISBLANK(W178),AG178="VF"),"-",
   IF('Dados da OS'!$D$8=Parâmetros!$B$3,
      IF(OR(ISBLANK(X178),ISBLANK(Z178)),"-",
         IF(AE178="L","Baixa",IF(AE178="A","Média",IF(AE178="H","Alta","-")))),
      IF('Dados da OS'!$D$8=Parâmetros!$B$4,
         IF(OR(V178="ALI",V178="AIE"),"Baixa",IF(OR(V178="EE",V178="SE",V178="CE"),"Média","-")),
         IF(OR('Dados da OS'!$D$8=Parâmetros!$B$5,'Dados da OS'!$D$8=Parâmetros!$B$6),"-"))))</f>
        <v>-</v>
      </c>
      <c r="AI178" s="83" t="str">
        <f xml:space="preserve">
IF(OR(ISBLANK(V178),ISBLANK(U178),ISBLANK(W178),V178="N/A",ISBLANK('Dados da OS'!$D$8)),"",
   IF(OR('Dados da OS'!$D$8=Parâmetros!$B$3,'Dados da OS'!$D$8=Parâmetros!$B$4),
      IF(OR(AND(V178="INM",AG178&lt;&gt;"VF"),AND(AG178="VF",V178&lt;&gt;"INM")),"",
        IF(AND(V178="INM",AG178="VF"),IF(ISBLANK(AB178),"",AF178*AB178),
        IF('Dados da OS'!$D$8=Parâmetros!$B$4,
           IF(OR(V178="CE",V178="EE"),4,IF(V178="SE",5,IF(V178="ALI",7,IF(V178="AIE",5,"")))),
        IF('Dados da OS'!$D$8=Parâmetros!$B$3,
           IF(OR(ISBLANK(X178),ISBLANK(Z178)),"",
              IF(V178="ALI",IF(AE178="L",7,IF(AE178="A",10,15)),
                 IF(V178="AIE",IF(AE178="L",5,IF(AE178="A",7,10)),
                    IF(V178="SE",IF(AE178="L",4,IF(AE178="A",5,7)),
                       IF(OR(V178="EE",V178="CE"),IF(AE178="L",3,IF(AE178="A",4,6)),""))))))))),
   IF('Dados da OS'!$D$8=Parâmetros!$B$5,
      IF(OR(AND(V178="INM",AG178&lt;&gt;"VF"),AND(AG178="VF",V178&lt;&gt;"INM")),"",
         IF(V178="INM",IF(AG178="VF",AF178*AB178,""),
            IF(V178="PE",4.6,
            IF(V178="AL",7,"")))),
   IF('Dados da OS'!$D$8=Parâmetros!$B$6,
      IF(V178="ALI",35,IF(V178="AIE",15,"")),""))
    )
)</f>
        <v/>
      </c>
      <c r="AJ178" s="82" t="str">
        <f t="shared" si="22"/>
        <v/>
      </c>
      <c r="AK178" s="84"/>
      <c r="AL178" s="85" t="s">
        <v>21</v>
      </c>
      <c r="AM178" s="86"/>
      <c r="AN178" s="85"/>
      <c r="AO178" s="87"/>
      <c r="AP178" s="85"/>
      <c r="AQ178" s="86"/>
      <c r="AR178" s="85"/>
    </row>
    <row r="179" spans="1:44" ht="15.75" customHeight="1">
      <c r="A179" s="54"/>
      <c r="B179" s="100"/>
      <c r="C179" s="55"/>
      <c r="D179" s="55"/>
      <c r="E179" s="56"/>
      <c r="F179" s="55"/>
      <c r="G179" s="56"/>
      <c r="H179" s="55"/>
      <c r="I179" s="64"/>
      <c r="J179" s="57" t="str">
        <f t="shared" si="17"/>
        <v/>
      </c>
      <c r="K179" s="57" t="str">
        <f t="shared" si="18"/>
        <v/>
      </c>
      <c r="L179" s="57" t="str">
        <f xml:space="preserve">
IF(OR('Dados da OS'!$D$8=Parâmetros!$B$3,'Dados da OS'!$D$8=Parâmetros!$B$4),
  IF(OR(ISBLANK(D179),ISBLANK(F179)),
     IF(OR(B179="ALI",B179="AIE"),"L",IF(ISBLANK(B179),"","A")),
     IF(B179="EE",IF(F179&gt;=3,IF(D179&gt;=5,"H","A"),
     IF(F179&gt;=2,IF(D179&gt;=16,"H",IF(D179&lt;=4,"L","A")),IF(D179&lt;=15,"L","A"))),
     IF(OR(B179="SE",B179="CE"),IF(F179&gt;=4,IF(D179&gt;=6,"H","A"),IF(F179&gt;=2,IF(D179&gt;=20,"H",IF(D179&lt;=5,"L","A")),IF(D179&lt;=19,"L","A"))),
     IF(OR(B179="ALI",B179="AIE"),IF(F179&gt;=6,IF(D179&gt;=20,"H","A"),IF(F179&gt;=2,IF(D179&gt;=51,"H",IF(D179&lt;=19,"L","A")),IF(D179&lt;=50,"L","A"))))))),
IF('Dados da OS'!$D$8=Parâmetros!$B$6,"Indicativa",
IF('Dados da OS'!$D$8=Parâmetros!$B$5,"PFS","")))</f>
        <v/>
      </c>
      <c r="M179" s="57">
        <f>IFERROR(VLOOKUP(C179,'Fatores de Impacto e INMs'!$A$3:$D$32,3,0),1)</f>
        <v>1</v>
      </c>
      <c r="N179" s="57">
        <f>IFERROR(VLOOKUP(C179,'Fatores de Impacto e INMs'!$A$3:$E$32,5,0),1)</f>
        <v>1</v>
      </c>
      <c r="O179" s="63" t="str">
        <f xml:space="preserve">
IF(OR('Dados da OS'!$D$8="Selecione o tipo da contagem",ISBLANK('Dados da OS'!$D$8),B179="INM",B179="N/A",ISBLANK(B179),ISBLANK(C179),N179="VF"),"-",
   IF('Dados da OS'!$D$8=Parâmetros!$B$3,
      IF(OR(ISBLANK(D179),ISBLANK(F179)),"-",
         IF(L179="L","Baixa",IF(L179="A","Média",IF(L179="H","Alta","-")))),
      IF('Dados da OS'!$D$8=Parâmetros!$B$4,
         IF(OR(B179="ALI",B179="AIE"),"Baixa",IF(OR(B179="EE",B179="SE",B179="CE"),"Média","-")),
         IF(OR('Dados da OS'!$D$8=Parâmetros!$B$5,'Dados da OS'!$D$8=Parâmetros!$B$6),"-"))))</f>
        <v>-</v>
      </c>
      <c r="P179" s="59" t="str">
        <f xml:space="preserve">
IF(OR(ISBLANK(B179),ISBLANK(C179),B179="N/A",ISBLANK('Dados da OS'!$D$8)),"",
   IF(OR('Dados da OS'!$D$8=Parâmetros!$B$3,'Dados da OS'!$D$8=Parâmetros!$B$4),
      IF(OR(AND(B179="INM",N179&lt;&gt;"VF"),AND(N179="VF",B179&lt;&gt;"INM")),"",
        IF(AND(B179="INM",N179="VF"),IF(ISBLANK(H179),"",M179*H179),
        IF('Dados da OS'!$D$8=Parâmetros!$B$4,
           IF(OR(B179="CE",B179="EE"),4,IF(B179="SE",5,IF(B179="ALI",7,IF(B179="AIE",5,"")))),
        IF('Dados da OS'!$D$8=Parâmetros!$B$3,
           IF(OR(ISBLANK(D179),ISBLANK(F179)),"",
              IF(B179="ALI",IF(L179="L",7,IF(L179="A",10,15)),
                 IF(B179="AIE",IF(L179="L",5,IF(L179="A",7,10)),
                    IF(B179="SE",IF(L179="L",4,IF(L179="A",5,7)),
                       IF(OR(B179="EE",B179="CE"),IF(L179="L",3,IF(L179="A",4,6)),""))))))))),
   IF('Dados da OS'!$D$8=Parâmetros!$B$5,
      IF(OR(AND(B179="INM",N179&lt;&gt;"VF"),AND(N179="VF",B179&lt;&gt;"INM")),"",
         IF(B179="INM",IF(N179="VF",M179*H179,""),
            IF(B179="PE",4.6,
            IF(B179="AL",7,"")))),
   IF('Dados da OS'!$D$8=Parâmetros!$B$6,
      IF(B179="ALI",35,IF(B179="AIE",15,"")),""))
    )
)</f>
        <v/>
      </c>
      <c r="Q179" s="60" t="str">
        <f t="shared" si="19"/>
        <v/>
      </c>
      <c r="R179" s="61"/>
      <c r="S179" s="62"/>
      <c r="T179" s="80" t="s">
        <v>21</v>
      </c>
      <c r="U179" s="81"/>
      <c r="V179" s="99"/>
      <c r="W179" s="55"/>
      <c r="X179" s="55"/>
      <c r="Y179" s="56"/>
      <c r="Z179" s="55"/>
      <c r="AA179" s="56"/>
      <c r="AB179" s="55"/>
      <c r="AC179" s="57" t="str">
        <f t="shared" si="20"/>
        <v/>
      </c>
      <c r="AD179" s="57" t="str">
        <f t="shared" si="21"/>
        <v/>
      </c>
      <c r="AE179" s="57" t="str">
        <f xml:space="preserve">
IF(OR('Dados da OS'!$D$8=Parâmetros!$B$3,'Dados da OS'!$D$8=Parâmetros!$B$4),
  IF(OR(ISBLANK(X179),ISBLANK(Z179)),
     IF(OR(V179="ALI",V179="AIE"),"L",IF(ISBLANK(V179),"","A")),
     IF(V179="EE",IF(Z179&gt;=3,IF(X179&gt;=5,"H","A"),
     IF(Z179&gt;=2,IF(X179&gt;=16,"H",IF(X179&lt;=4,"L","A")),IF(X179&lt;=15,"L","A"))),
     IF(OR(V179="SE",V179="CE"),IF(Z179&gt;=4,IF(X179&gt;=6,"H","A"),IF(Z179&gt;=2,IF(X179&gt;=20,"H",IF(X179&lt;=5,"L","A")),IF(X179&lt;=19,"L","A"))),
     IF(OR(V179="ALI",V179="AIE"),IF(Z179&gt;=6,IF(X179&gt;=20,"H","A"),IF(Z179&gt;=2,IF(X179&gt;=51,"H",IF(X179&lt;=19,"L","A")),IF(X179&lt;=50,"L","A"))))))),
IF('Dados da OS'!$D$8=Parâmetros!$B$6,"Indicativa",
IF('Dados da OS'!$D$8=Parâmetros!$B$5,"PFS","")))</f>
        <v/>
      </c>
      <c r="AF179" s="57">
        <f>IFERROR(VLOOKUP(W179,'Fatores de Impacto e INMs'!$A$3:$D$32,3,0),1)</f>
        <v>1</v>
      </c>
      <c r="AG179" s="57">
        <f>IFERROR(VLOOKUP(W179,'Fatores de Impacto e INMs'!$A$3:$E$32,5,0),1)</f>
        <v>1</v>
      </c>
      <c r="AH179" s="82" t="str">
        <f xml:space="preserve">
IF(OR('Dados da OS'!$D$8="Selecione o tipo da contagem",ISBLANK('Dados da OS'!$D$8),V179="INM",V179="N/A",ISBLANK(V179),ISBLANK(W179),AG179="VF"),"-",
   IF('Dados da OS'!$D$8=Parâmetros!$B$3,
      IF(OR(ISBLANK(X179),ISBLANK(Z179)),"-",
         IF(AE179="L","Baixa",IF(AE179="A","Média",IF(AE179="H","Alta","-")))),
      IF('Dados da OS'!$D$8=Parâmetros!$B$4,
         IF(OR(V179="ALI",V179="AIE"),"Baixa",IF(OR(V179="EE",V179="SE",V179="CE"),"Média","-")),
         IF(OR('Dados da OS'!$D$8=Parâmetros!$B$5,'Dados da OS'!$D$8=Parâmetros!$B$6),"-"))))</f>
        <v>-</v>
      </c>
      <c r="AI179" s="83" t="str">
        <f xml:space="preserve">
IF(OR(ISBLANK(V179),ISBLANK(U179),ISBLANK(W179),V179="N/A",ISBLANK('Dados da OS'!$D$8)),"",
   IF(OR('Dados da OS'!$D$8=Parâmetros!$B$3,'Dados da OS'!$D$8=Parâmetros!$B$4),
      IF(OR(AND(V179="INM",AG179&lt;&gt;"VF"),AND(AG179="VF",V179&lt;&gt;"INM")),"",
        IF(AND(V179="INM",AG179="VF"),IF(ISBLANK(AB179),"",AF179*AB179),
        IF('Dados da OS'!$D$8=Parâmetros!$B$4,
           IF(OR(V179="CE",V179="EE"),4,IF(V179="SE",5,IF(V179="ALI",7,IF(V179="AIE",5,"")))),
        IF('Dados da OS'!$D$8=Parâmetros!$B$3,
           IF(OR(ISBLANK(X179),ISBLANK(Z179)),"",
              IF(V179="ALI",IF(AE179="L",7,IF(AE179="A",10,15)),
                 IF(V179="AIE",IF(AE179="L",5,IF(AE179="A",7,10)),
                    IF(V179="SE",IF(AE179="L",4,IF(AE179="A",5,7)),
                       IF(OR(V179="EE",V179="CE"),IF(AE179="L",3,IF(AE179="A",4,6)),""))))))))),
   IF('Dados da OS'!$D$8=Parâmetros!$B$5,
      IF(OR(AND(V179="INM",AG179&lt;&gt;"VF"),AND(AG179="VF",V179&lt;&gt;"INM")),"",
         IF(V179="INM",IF(AG179="VF",AF179*AB179,""),
            IF(V179="PE",4.6,
            IF(V179="AL",7,"")))),
   IF('Dados da OS'!$D$8=Parâmetros!$B$6,
      IF(V179="ALI",35,IF(V179="AIE",15,"")),""))
    )
)</f>
        <v/>
      </c>
      <c r="AJ179" s="82" t="str">
        <f t="shared" si="22"/>
        <v/>
      </c>
      <c r="AK179" s="84"/>
      <c r="AL179" s="85" t="s">
        <v>21</v>
      </c>
      <c r="AM179" s="86"/>
      <c r="AN179" s="85"/>
      <c r="AO179" s="87"/>
      <c r="AP179" s="85"/>
      <c r="AQ179" s="86"/>
      <c r="AR179" s="85"/>
    </row>
    <row r="180" spans="1:44" ht="15.75" customHeight="1">
      <c r="A180" s="54"/>
      <c r="B180" s="100"/>
      <c r="C180" s="55"/>
      <c r="D180" s="55"/>
      <c r="E180" s="56"/>
      <c r="F180" s="55"/>
      <c r="G180" s="56"/>
      <c r="H180" s="55"/>
      <c r="I180" s="64"/>
      <c r="J180" s="57" t="str">
        <f t="shared" ref="J180:J243" si="23">CONCATENATE(B180,L180)</f>
        <v/>
      </c>
      <c r="K180" s="57" t="str">
        <f t="shared" ref="K180:K243" si="24">CONCATENATE(B180,C180,L180,Q180)</f>
        <v/>
      </c>
      <c r="L180" s="57" t="str">
        <f xml:space="preserve">
IF(OR('Dados da OS'!$D$8=Parâmetros!$B$3,'Dados da OS'!$D$8=Parâmetros!$B$4),
  IF(OR(ISBLANK(D180),ISBLANK(F180)),
     IF(OR(B180="ALI",B180="AIE"),"L",IF(ISBLANK(B180),"","A")),
     IF(B180="EE",IF(F180&gt;=3,IF(D180&gt;=5,"H","A"),
     IF(F180&gt;=2,IF(D180&gt;=16,"H",IF(D180&lt;=4,"L","A")),IF(D180&lt;=15,"L","A"))),
     IF(OR(B180="SE",B180="CE"),IF(F180&gt;=4,IF(D180&gt;=6,"H","A"),IF(F180&gt;=2,IF(D180&gt;=20,"H",IF(D180&lt;=5,"L","A")),IF(D180&lt;=19,"L","A"))),
     IF(OR(B180="ALI",B180="AIE"),IF(F180&gt;=6,IF(D180&gt;=20,"H","A"),IF(F180&gt;=2,IF(D180&gt;=51,"H",IF(D180&lt;=19,"L","A")),IF(D180&lt;=50,"L","A"))))))),
IF('Dados da OS'!$D$8=Parâmetros!$B$6,"Indicativa",
IF('Dados da OS'!$D$8=Parâmetros!$B$5,"PFS","")))</f>
        <v/>
      </c>
      <c r="M180" s="57">
        <f>IFERROR(VLOOKUP(C180,'Fatores de Impacto e INMs'!$A$3:$D$32,3,0),1)</f>
        <v>1</v>
      </c>
      <c r="N180" s="57">
        <f>IFERROR(VLOOKUP(C180,'Fatores de Impacto e INMs'!$A$3:$E$32,5,0),1)</f>
        <v>1</v>
      </c>
      <c r="O180" s="63" t="str">
        <f xml:space="preserve">
IF(OR('Dados da OS'!$D$8="Selecione o tipo da contagem",ISBLANK('Dados da OS'!$D$8),B180="INM",B180="N/A",ISBLANK(B180),ISBLANK(C180),N180="VF"),"-",
   IF('Dados da OS'!$D$8=Parâmetros!$B$3,
      IF(OR(ISBLANK(D180),ISBLANK(F180)),"-",
         IF(L180="L","Baixa",IF(L180="A","Média",IF(L180="H","Alta","-")))),
      IF('Dados da OS'!$D$8=Parâmetros!$B$4,
         IF(OR(B180="ALI",B180="AIE"),"Baixa",IF(OR(B180="EE",B180="SE",B180="CE"),"Média","-")),
         IF(OR('Dados da OS'!$D$8=Parâmetros!$B$5,'Dados da OS'!$D$8=Parâmetros!$B$6),"-"))))</f>
        <v>-</v>
      </c>
      <c r="P180" s="59" t="str">
        <f xml:space="preserve">
IF(OR(ISBLANK(B180),ISBLANK(C180),B180="N/A",ISBLANK('Dados da OS'!$D$8)),"",
   IF(OR('Dados da OS'!$D$8=Parâmetros!$B$3,'Dados da OS'!$D$8=Parâmetros!$B$4),
      IF(OR(AND(B180="INM",N180&lt;&gt;"VF"),AND(N180="VF",B180&lt;&gt;"INM")),"",
        IF(AND(B180="INM",N180="VF"),IF(ISBLANK(H180),"",M180*H180),
        IF('Dados da OS'!$D$8=Parâmetros!$B$4,
           IF(OR(B180="CE",B180="EE"),4,IF(B180="SE",5,IF(B180="ALI",7,IF(B180="AIE",5,"")))),
        IF('Dados da OS'!$D$8=Parâmetros!$B$3,
           IF(OR(ISBLANK(D180),ISBLANK(F180)),"",
              IF(B180="ALI",IF(L180="L",7,IF(L180="A",10,15)),
                 IF(B180="AIE",IF(L180="L",5,IF(L180="A",7,10)),
                    IF(B180="SE",IF(L180="L",4,IF(L180="A",5,7)),
                       IF(OR(B180="EE",B180="CE"),IF(L180="L",3,IF(L180="A",4,6)),""))))))))),
   IF('Dados da OS'!$D$8=Parâmetros!$B$5,
      IF(OR(AND(B180="INM",N180&lt;&gt;"VF"),AND(N180="VF",B180&lt;&gt;"INM")),"",
         IF(B180="INM",IF(N180="VF",M180*H180,""),
            IF(B180="PE",4.6,
            IF(B180="AL",7,"")))),
   IF('Dados da OS'!$D$8=Parâmetros!$B$6,
      IF(B180="ALI",35,IF(B180="AIE",15,"")),""))
    )
)</f>
        <v/>
      </c>
      <c r="Q180" s="60" t="str">
        <f t="shared" si="19"/>
        <v/>
      </c>
      <c r="R180" s="61"/>
      <c r="S180" s="62"/>
      <c r="T180" s="80" t="s">
        <v>21</v>
      </c>
      <c r="U180" s="81"/>
      <c r="V180" s="99"/>
      <c r="W180" s="55"/>
      <c r="X180" s="55"/>
      <c r="Y180" s="56"/>
      <c r="Z180" s="55"/>
      <c r="AA180" s="56"/>
      <c r="AB180" s="55"/>
      <c r="AC180" s="57" t="str">
        <f t="shared" si="20"/>
        <v/>
      </c>
      <c r="AD180" s="57" t="str">
        <f t="shared" si="21"/>
        <v/>
      </c>
      <c r="AE180" s="57" t="str">
        <f xml:space="preserve">
IF(OR('Dados da OS'!$D$8=Parâmetros!$B$3,'Dados da OS'!$D$8=Parâmetros!$B$4),
  IF(OR(ISBLANK(X180),ISBLANK(Z180)),
     IF(OR(V180="ALI",V180="AIE"),"L",IF(ISBLANK(V180),"","A")),
     IF(V180="EE",IF(Z180&gt;=3,IF(X180&gt;=5,"H","A"),
     IF(Z180&gt;=2,IF(X180&gt;=16,"H",IF(X180&lt;=4,"L","A")),IF(X180&lt;=15,"L","A"))),
     IF(OR(V180="SE",V180="CE"),IF(Z180&gt;=4,IF(X180&gt;=6,"H","A"),IF(Z180&gt;=2,IF(X180&gt;=20,"H",IF(X180&lt;=5,"L","A")),IF(X180&lt;=19,"L","A"))),
     IF(OR(V180="ALI",V180="AIE"),IF(Z180&gt;=6,IF(X180&gt;=20,"H","A"),IF(Z180&gt;=2,IF(X180&gt;=51,"H",IF(X180&lt;=19,"L","A")),IF(X180&lt;=50,"L","A"))))))),
IF('Dados da OS'!$D$8=Parâmetros!$B$6,"Indicativa",
IF('Dados da OS'!$D$8=Parâmetros!$B$5,"PFS","")))</f>
        <v/>
      </c>
      <c r="AF180" s="57">
        <f>IFERROR(VLOOKUP(W180,'Fatores de Impacto e INMs'!$A$3:$D$32,3,0),1)</f>
        <v>1</v>
      </c>
      <c r="AG180" s="57">
        <f>IFERROR(VLOOKUP(W180,'Fatores de Impacto e INMs'!$A$3:$E$32,5,0),1)</f>
        <v>1</v>
      </c>
      <c r="AH180" s="82" t="str">
        <f xml:space="preserve">
IF(OR('Dados da OS'!$D$8="Selecione o tipo da contagem",ISBLANK('Dados da OS'!$D$8),V180="INM",V180="N/A",ISBLANK(V180),ISBLANK(W180),AG180="VF"),"-",
   IF('Dados da OS'!$D$8=Parâmetros!$B$3,
      IF(OR(ISBLANK(X180),ISBLANK(Z180)),"-",
         IF(AE180="L","Baixa",IF(AE180="A","Média",IF(AE180="H","Alta","-")))),
      IF('Dados da OS'!$D$8=Parâmetros!$B$4,
         IF(OR(V180="ALI",V180="AIE"),"Baixa",IF(OR(V180="EE",V180="SE",V180="CE"),"Média","-")),
         IF(OR('Dados da OS'!$D$8=Parâmetros!$B$5,'Dados da OS'!$D$8=Parâmetros!$B$6),"-"))))</f>
        <v>-</v>
      </c>
      <c r="AI180" s="83" t="str">
        <f xml:space="preserve">
IF(OR(ISBLANK(V180),ISBLANK(U180),ISBLANK(W180),V180="N/A",ISBLANK('Dados da OS'!$D$8)),"",
   IF(OR('Dados da OS'!$D$8=Parâmetros!$B$3,'Dados da OS'!$D$8=Parâmetros!$B$4),
      IF(OR(AND(V180="INM",AG180&lt;&gt;"VF"),AND(AG180="VF",V180&lt;&gt;"INM")),"",
        IF(AND(V180="INM",AG180="VF"),IF(ISBLANK(AB180),"",AF180*AB180),
        IF('Dados da OS'!$D$8=Parâmetros!$B$4,
           IF(OR(V180="CE",V180="EE"),4,IF(V180="SE",5,IF(V180="ALI",7,IF(V180="AIE",5,"")))),
        IF('Dados da OS'!$D$8=Parâmetros!$B$3,
           IF(OR(ISBLANK(X180),ISBLANK(Z180)),"",
              IF(V180="ALI",IF(AE180="L",7,IF(AE180="A",10,15)),
                 IF(V180="AIE",IF(AE180="L",5,IF(AE180="A",7,10)),
                    IF(V180="SE",IF(AE180="L",4,IF(AE180="A",5,7)),
                       IF(OR(V180="EE",V180="CE"),IF(AE180="L",3,IF(AE180="A",4,6)),""))))))))),
   IF('Dados da OS'!$D$8=Parâmetros!$B$5,
      IF(OR(AND(V180="INM",AG180&lt;&gt;"VF"),AND(AG180="VF",V180&lt;&gt;"INM")),"",
         IF(V180="INM",IF(AG180="VF",AF180*AB180,""),
            IF(V180="PE",4.6,
            IF(V180="AL",7,"")))),
   IF('Dados da OS'!$D$8=Parâmetros!$B$6,
      IF(V180="ALI",35,IF(V180="AIE",15,"")),""))
    )
)</f>
        <v/>
      </c>
      <c r="AJ180" s="82" t="str">
        <f t="shared" si="22"/>
        <v/>
      </c>
      <c r="AK180" s="84"/>
      <c r="AL180" s="85" t="s">
        <v>21</v>
      </c>
      <c r="AM180" s="86"/>
      <c r="AN180" s="85"/>
      <c r="AO180" s="87"/>
      <c r="AP180" s="85"/>
      <c r="AQ180" s="86"/>
      <c r="AR180" s="85"/>
    </row>
    <row r="181" spans="1:44" ht="15.75" customHeight="1">
      <c r="A181" s="54"/>
      <c r="B181" s="100"/>
      <c r="C181" s="55"/>
      <c r="D181" s="55"/>
      <c r="E181" s="56"/>
      <c r="F181" s="55"/>
      <c r="G181" s="56"/>
      <c r="H181" s="55"/>
      <c r="I181" s="64"/>
      <c r="J181" s="57" t="str">
        <f t="shared" si="23"/>
        <v/>
      </c>
      <c r="K181" s="57" t="str">
        <f t="shared" si="24"/>
        <v/>
      </c>
      <c r="L181" s="57" t="str">
        <f xml:space="preserve">
IF(OR('Dados da OS'!$D$8=Parâmetros!$B$3,'Dados da OS'!$D$8=Parâmetros!$B$4),
  IF(OR(ISBLANK(D181),ISBLANK(F181)),
     IF(OR(B181="ALI",B181="AIE"),"L",IF(ISBLANK(B181),"","A")),
     IF(B181="EE",IF(F181&gt;=3,IF(D181&gt;=5,"H","A"),
     IF(F181&gt;=2,IF(D181&gt;=16,"H",IF(D181&lt;=4,"L","A")),IF(D181&lt;=15,"L","A"))),
     IF(OR(B181="SE",B181="CE"),IF(F181&gt;=4,IF(D181&gt;=6,"H","A"),IF(F181&gt;=2,IF(D181&gt;=20,"H",IF(D181&lt;=5,"L","A")),IF(D181&lt;=19,"L","A"))),
     IF(OR(B181="ALI",B181="AIE"),IF(F181&gt;=6,IF(D181&gt;=20,"H","A"),IF(F181&gt;=2,IF(D181&gt;=51,"H",IF(D181&lt;=19,"L","A")),IF(D181&lt;=50,"L","A"))))))),
IF('Dados da OS'!$D$8=Parâmetros!$B$6,"Indicativa",
IF('Dados da OS'!$D$8=Parâmetros!$B$5,"PFS","")))</f>
        <v/>
      </c>
      <c r="M181" s="57">
        <f>IFERROR(VLOOKUP(C181,'Fatores de Impacto e INMs'!$A$3:$D$32,3,0),1)</f>
        <v>1</v>
      </c>
      <c r="N181" s="57">
        <f>IFERROR(VLOOKUP(C181,'Fatores de Impacto e INMs'!$A$3:$E$32,5,0),1)</f>
        <v>1</v>
      </c>
      <c r="O181" s="63" t="str">
        <f xml:space="preserve">
IF(OR('Dados da OS'!$D$8="Selecione o tipo da contagem",ISBLANK('Dados da OS'!$D$8),B181="INM",B181="N/A",ISBLANK(B181),ISBLANK(C181),N181="VF"),"-",
   IF('Dados da OS'!$D$8=Parâmetros!$B$3,
      IF(OR(ISBLANK(D181),ISBLANK(F181)),"-",
         IF(L181="L","Baixa",IF(L181="A","Média",IF(L181="H","Alta","-")))),
      IF('Dados da OS'!$D$8=Parâmetros!$B$4,
         IF(OR(B181="ALI",B181="AIE"),"Baixa",IF(OR(B181="EE",B181="SE",B181="CE"),"Média","-")),
         IF(OR('Dados da OS'!$D$8=Parâmetros!$B$5,'Dados da OS'!$D$8=Parâmetros!$B$6),"-"))))</f>
        <v>-</v>
      </c>
      <c r="P181" s="59" t="str">
        <f xml:space="preserve">
IF(OR(ISBLANK(B181),ISBLANK(C181),B181="N/A",ISBLANK('Dados da OS'!$D$8)),"",
   IF(OR('Dados da OS'!$D$8=Parâmetros!$B$3,'Dados da OS'!$D$8=Parâmetros!$B$4),
      IF(OR(AND(B181="INM",N181&lt;&gt;"VF"),AND(N181="VF",B181&lt;&gt;"INM")),"",
        IF(AND(B181="INM",N181="VF"),IF(ISBLANK(H181),"",M181*H181),
        IF('Dados da OS'!$D$8=Parâmetros!$B$4,
           IF(OR(B181="CE",B181="EE"),4,IF(B181="SE",5,IF(B181="ALI",7,IF(B181="AIE",5,"")))),
        IF('Dados da OS'!$D$8=Parâmetros!$B$3,
           IF(OR(ISBLANK(D181),ISBLANK(F181)),"",
              IF(B181="ALI",IF(L181="L",7,IF(L181="A",10,15)),
                 IF(B181="AIE",IF(L181="L",5,IF(L181="A",7,10)),
                    IF(B181="SE",IF(L181="L",4,IF(L181="A",5,7)),
                       IF(OR(B181="EE",B181="CE"),IF(L181="L",3,IF(L181="A",4,6)),""))))))))),
   IF('Dados da OS'!$D$8=Parâmetros!$B$5,
      IF(OR(AND(B181="INM",N181&lt;&gt;"VF"),AND(N181="VF",B181&lt;&gt;"INM")),"",
         IF(B181="INM",IF(N181="VF",M181*H181,""),
            IF(B181="PE",4.6,
            IF(B181="AL",7,"")))),
   IF('Dados da OS'!$D$8=Parâmetros!$B$6,
      IF(B181="ALI",35,IF(B181="AIE",15,"")),""))
    )
)</f>
        <v/>
      </c>
      <c r="Q181" s="60" t="str">
        <f t="shared" si="19"/>
        <v/>
      </c>
      <c r="R181" s="61"/>
      <c r="S181" s="62"/>
      <c r="T181" s="80" t="s">
        <v>21</v>
      </c>
      <c r="U181" s="81"/>
      <c r="V181" s="99"/>
      <c r="W181" s="55"/>
      <c r="X181" s="55"/>
      <c r="Y181" s="56"/>
      <c r="Z181" s="55"/>
      <c r="AA181" s="56"/>
      <c r="AB181" s="55"/>
      <c r="AC181" s="57" t="str">
        <f t="shared" si="20"/>
        <v/>
      </c>
      <c r="AD181" s="57" t="str">
        <f t="shared" si="21"/>
        <v/>
      </c>
      <c r="AE181" s="57" t="str">
        <f xml:space="preserve">
IF(OR('Dados da OS'!$D$8=Parâmetros!$B$3,'Dados da OS'!$D$8=Parâmetros!$B$4),
  IF(OR(ISBLANK(X181),ISBLANK(Z181)),
     IF(OR(V181="ALI",V181="AIE"),"L",IF(ISBLANK(V181),"","A")),
     IF(V181="EE",IF(Z181&gt;=3,IF(X181&gt;=5,"H","A"),
     IF(Z181&gt;=2,IF(X181&gt;=16,"H",IF(X181&lt;=4,"L","A")),IF(X181&lt;=15,"L","A"))),
     IF(OR(V181="SE",V181="CE"),IF(Z181&gt;=4,IF(X181&gt;=6,"H","A"),IF(Z181&gt;=2,IF(X181&gt;=20,"H",IF(X181&lt;=5,"L","A")),IF(X181&lt;=19,"L","A"))),
     IF(OR(V181="ALI",V181="AIE"),IF(Z181&gt;=6,IF(X181&gt;=20,"H","A"),IF(Z181&gt;=2,IF(X181&gt;=51,"H",IF(X181&lt;=19,"L","A")),IF(X181&lt;=50,"L","A"))))))),
IF('Dados da OS'!$D$8=Parâmetros!$B$6,"Indicativa",
IF('Dados da OS'!$D$8=Parâmetros!$B$5,"PFS","")))</f>
        <v/>
      </c>
      <c r="AF181" s="57">
        <f>IFERROR(VLOOKUP(W181,'Fatores de Impacto e INMs'!$A$3:$D$32,3,0),1)</f>
        <v>1</v>
      </c>
      <c r="AG181" s="57">
        <f>IFERROR(VLOOKUP(W181,'Fatores de Impacto e INMs'!$A$3:$E$32,5,0),1)</f>
        <v>1</v>
      </c>
      <c r="AH181" s="82" t="str">
        <f xml:space="preserve">
IF(OR('Dados da OS'!$D$8="Selecione o tipo da contagem",ISBLANK('Dados da OS'!$D$8),V181="INM",V181="N/A",ISBLANK(V181),ISBLANK(W181),AG181="VF"),"-",
   IF('Dados da OS'!$D$8=Parâmetros!$B$3,
      IF(OR(ISBLANK(X181),ISBLANK(Z181)),"-",
         IF(AE181="L","Baixa",IF(AE181="A","Média",IF(AE181="H","Alta","-")))),
      IF('Dados da OS'!$D$8=Parâmetros!$B$4,
         IF(OR(V181="ALI",V181="AIE"),"Baixa",IF(OR(V181="EE",V181="SE",V181="CE"),"Média","-")),
         IF(OR('Dados da OS'!$D$8=Parâmetros!$B$5,'Dados da OS'!$D$8=Parâmetros!$B$6),"-"))))</f>
        <v>-</v>
      </c>
      <c r="AI181" s="83" t="str">
        <f xml:space="preserve">
IF(OR(ISBLANK(V181),ISBLANK(U181),ISBLANK(W181),V181="N/A",ISBLANK('Dados da OS'!$D$8)),"",
   IF(OR('Dados da OS'!$D$8=Parâmetros!$B$3,'Dados da OS'!$D$8=Parâmetros!$B$4),
      IF(OR(AND(V181="INM",AG181&lt;&gt;"VF"),AND(AG181="VF",V181&lt;&gt;"INM")),"",
        IF(AND(V181="INM",AG181="VF"),IF(ISBLANK(AB181),"",AF181*AB181),
        IF('Dados da OS'!$D$8=Parâmetros!$B$4,
           IF(OR(V181="CE",V181="EE"),4,IF(V181="SE",5,IF(V181="ALI",7,IF(V181="AIE",5,"")))),
        IF('Dados da OS'!$D$8=Parâmetros!$B$3,
           IF(OR(ISBLANK(X181),ISBLANK(Z181)),"",
              IF(V181="ALI",IF(AE181="L",7,IF(AE181="A",10,15)),
                 IF(V181="AIE",IF(AE181="L",5,IF(AE181="A",7,10)),
                    IF(V181="SE",IF(AE181="L",4,IF(AE181="A",5,7)),
                       IF(OR(V181="EE",V181="CE"),IF(AE181="L",3,IF(AE181="A",4,6)),""))))))))),
   IF('Dados da OS'!$D$8=Parâmetros!$B$5,
      IF(OR(AND(V181="INM",AG181&lt;&gt;"VF"),AND(AG181="VF",V181&lt;&gt;"INM")),"",
         IF(V181="INM",IF(AG181="VF",AF181*AB181,""),
            IF(V181="PE",4.6,
            IF(V181="AL",7,"")))),
   IF('Dados da OS'!$D$8=Parâmetros!$B$6,
      IF(V181="ALI",35,IF(V181="AIE",15,"")),""))
    )
)</f>
        <v/>
      </c>
      <c r="AJ181" s="82" t="str">
        <f t="shared" si="22"/>
        <v/>
      </c>
      <c r="AK181" s="84"/>
      <c r="AL181" s="85" t="s">
        <v>21</v>
      </c>
      <c r="AM181" s="86"/>
      <c r="AN181" s="85"/>
      <c r="AO181" s="87"/>
      <c r="AP181" s="85"/>
      <c r="AQ181" s="86"/>
      <c r="AR181" s="85"/>
    </row>
    <row r="182" spans="1:44" ht="15.75" customHeight="1">
      <c r="A182" s="54"/>
      <c r="B182" s="100"/>
      <c r="C182" s="55"/>
      <c r="D182" s="55"/>
      <c r="E182" s="56"/>
      <c r="F182" s="55"/>
      <c r="G182" s="56"/>
      <c r="H182" s="55"/>
      <c r="I182" s="64"/>
      <c r="J182" s="57" t="str">
        <f t="shared" si="23"/>
        <v/>
      </c>
      <c r="K182" s="57" t="str">
        <f t="shared" si="24"/>
        <v/>
      </c>
      <c r="L182" s="57" t="str">
        <f xml:space="preserve">
IF(OR('Dados da OS'!$D$8=Parâmetros!$B$3,'Dados da OS'!$D$8=Parâmetros!$B$4),
  IF(OR(ISBLANK(D182),ISBLANK(F182)),
     IF(OR(B182="ALI",B182="AIE"),"L",IF(ISBLANK(B182),"","A")),
     IF(B182="EE",IF(F182&gt;=3,IF(D182&gt;=5,"H","A"),
     IF(F182&gt;=2,IF(D182&gt;=16,"H",IF(D182&lt;=4,"L","A")),IF(D182&lt;=15,"L","A"))),
     IF(OR(B182="SE",B182="CE"),IF(F182&gt;=4,IF(D182&gt;=6,"H","A"),IF(F182&gt;=2,IF(D182&gt;=20,"H",IF(D182&lt;=5,"L","A")),IF(D182&lt;=19,"L","A"))),
     IF(OR(B182="ALI",B182="AIE"),IF(F182&gt;=6,IF(D182&gt;=20,"H","A"),IF(F182&gt;=2,IF(D182&gt;=51,"H",IF(D182&lt;=19,"L","A")),IF(D182&lt;=50,"L","A"))))))),
IF('Dados da OS'!$D$8=Parâmetros!$B$6,"Indicativa",
IF('Dados da OS'!$D$8=Parâmetros!$B$5,"PFS","")))</f>
        <v/>
      </c>
      <c r="M182" s="57">
        <f>IFERROR(VLOOKUP(C182,'Fatores de Impacto e INMs'!$A$3:$D$32,3,0),1)</f>
        <v>1</v>
      </c>
      <c r="N182" s="57">
        <f>IFERROR(VLOOKUP(C182,'Fatores de Impacto e INMs'!$A$3:$E$32,5,0),1)</f>
        <v>1</v>
      </c>
      <c r="O182" s="63" t="str">
        <f xml:space="preserve">
IF(OR('Dados da OS'!$D$8="Selecione o tipo da contagem",ISBLANK('Dados da OS'!$D$8),B182="INM",B182="N/A",ISBLANK(B182),ISBLANK(C182),N182="VF"),"-",
   IF('Dados da OS'!$D$8=Parâmetros!$B$3,
      IF(OR(ISBLANK(D182),ISBLANK(F182)),"-",
         IF(L182="L","Baixa",IF(L182="A","Média",IF(L182="H","Alta","-")))),
      IF('Dados da OS'!$D$8=Parâmetros!$B$4,
         IF(OR(B182="ALI",B182="AIE"),"Baixa",IF(OR(B182="EE",B182="SE",B182="CE"),"Média","-")),
         IF(OR('Dados da OS'!$D$8=Parâmetros!$B$5,'Dados da OS'!$D$8=Parâmetros!$B$6),"-"))))</f>
        <v>-</v>
      </c>
      <c r="P182" s="59" t="str">
        <f xml:space="preserve">
IF(OR(ISBLANK(B182),ISBLANK(C182),B182="N/A",ISBLANK('Dados da OS'!$D$8)),"",
   IF(OR('Dados da OS'!$D$8=Parâmetros!$B$3,'Dados da OS'!$D$8=Parâmetros!$B$4),
      IF(OR(AND(B182="INM",N182&lt;&gt;"VF"),AND(N182="VF",B182&lt;&gt;"INM")),"",
        IF(AND(B182="INM",N182="VF"),IF(ISBLANK(H182),"",M182*H182),
        IF('Dados da OS'!$D$8=Parâmetros!$B$4,
           IF(OR(B182="CE",B182="EE"),4,IF(B182="SE",5,IF(B182="ALI",7,IF(B182="AIE",5,"")))),
        IF('Dados da OS'!$D$8=Parâmetros!$B$3,
           IF(OR(ISBLANK(D182),ISBLANK(F182)),"",
              IF(B182="ALI",IF(L182="L",7,IF(L182="A",10,15)),
                 IF(B182="AIE",IF(L182="L",5,IF(L182="A",7,10)),
                    IF(B182="SE",IF(L182="L",4,IF(L182="A",5,7)),
                       IF(OR(B182="EE",B182="CE"),IF(L182="L",3,IF(L182="A",4,6)),""))))))))),
   IF('Dados da OS'!$D$8=Parâmetros!$B$5,
      IF(OR(AND(B182="INM",N182&lt;&gt;"VF"),AND(N182="VF",B182&lt;&gt;"INM")),"",
         IF(B182="INM",IF(N182="VF",M182*H182,""),
            IF(B182="PE",4.6,
            IF(B182="AL",7,"")))),
   IF('Dados da OS'!$D$8=Parâmetros!$B$6,
      IF(B182="ALI",35,IF(B182="AIE",15,"")),""))
    )
)</f>
        <v/>
      </c>
      <c r="Q182" s="60" t="str">
        <f t="shared" si="19"/>
        <v/>
      </c>
      <c r="R182" s="61"/>
      <c r="S182" s="62"/>
      <c r="T182" s="80" t="s">
        <v>21</v>
      </c>
      <c r="U182" s="81"/>
      <c r="V182" s="99"/>
      <c r="W182" s="55"/>
      <c r="X182" s="55"/>
      <c r="Y182" s="56"/>
      <c r="Z182" s="55"/>
      <c r="AA182" s="56"/>
      <c r="AB182" s="55"/>
      <c r="AC182" s="57" t="str">
        <f t="shared" si="20"/>
        <v/>
      </c>
      <c r="AD182" s="57" t="str">
        <f t="shared" si="21"/>
        <v/>
      </c>
      <c r="AE182" s="57" t="str">
        <f xml:space="preserve">
IF(OR('Dados da OS'!$D$8=Parâmetros!$B$3,'Dados da OS'!$D$8=Parâmetros!$B$4),
  IF(OR(ISBLANK(X182),ISBLANK(Z182)),
     IF(OR(V182="ALI",V182="AIE"),"L",IF(ISBLANK(V182),"","A")),
     IF(V182="EE",IF(Z182&gt;=3,IF(X182&gt;=5,"H","A"),
     IF(Z182&gt;=2,IF(X182&gt;=16,"H",IF(X182&lt;=4,"L","A")),IF(X182&lt;=15,"L","A"))),
     IF(OR(V182="SE",V182="CE"),IF(Z182&gt;=4,IF(X182&gt;=6,"H","A"),IF(Z182&gt;=2,IF(X182&gt;=20,"H",IF(X182&lt;=5,"L","A")),IF(X182&lt;=19,"L","A"))),
     IF(OR(V182="ALI",V182="AIE"),IF(Z182&gt;=6,IF(X182&gt;=20,"H","A"),IF(Z182&gt;=2,IF(X182&gt;=51,"H",IF(X182&lt;=19,"L","A")),IF(X182&lt;=50,"L","A"))))))),
IF('Dados da OS'!$D$8=Parâmetros!$B$6,"Indicativa",
IF('Dados da OS'!$D$8=Parâmetros!$B$5,"PFS","")))</f>
        <v/>
      </c>
      <c r="AF182" s="57">
        <f>IFERROR(VLOOKUP(W182,'Fatores de Impacto e INMs'!$A$3:$D$32,3,0),1)</f>
        <v>1</v>
      </c>
      <c r="AG182" s="57">
        <f>IFERROR(VLOOKUP(W182,'Fatores de Impacto e INMs'!$A$3:$E$32,5,0),1)</f>
        <v>1</v>
      </c>
      <c r="AH182" s="82" t="str">
        <f xml:space="preserve">
IF(OR('Dados da OS'!$D$8="Selecione o tipo da contagem",ISBLANK('Dados da OS'!$D$8),V182="INM",V182="N/A",ISBLANK(V182),ISBLANK(W182),AG182="VF"),"-",
   IF('Dados da OS'!$D$8=Parâmetros!$B$3,
      IF(OR(ISBLANK(X182),ISBLANK(Z182)),"-",
         IF(AE182="L","Baixa",IF(AE182="A","Média",IF(AE182="H","Alta","-")))),
      IF('Dados da OS'!$D$8=Parâmetros!$B$4,
         IF(OR(V182="ALI",V182="AIE"),"Baixa",IF(OR(V182="EE",V182="SE",V182="CE"),"Média","-")),
         IF(OR('Dados da OS'!$D$8=Parâmetros!$B$5,'Dados da OS'!$D$8=Parâmetros!$B$6),"-"))))</f>
        <v>-</v>
      </c>
      <c r="AI182" s="83" t="str">
        <f xml:space="preserve">
IF(OR(ISBLANK(V182),ISBLANK(U182),ISBLANK(W182),V182="N/A",ISBLANK('Dados da OS'!$D$8)),"",
   IF(OR('Dados da OS'!$D$8=Parâmetros!$B$3,'Dados da OS'!$D$8=Parâmetros!$B$4),
      IF(OR(AND(V182="INM",AG182&lt;&gt;"VF"),AND(AG182="VF",V182&lt;&gt;"INM")),"",
        IF(AND(V182="INM",AG182="VF"),IF(ISBLANK(AB182),"",AF182*AB182),
        IF('Dados da OS'!$D$8=Parâmetros!$B$4,
           IF(OR(V182="CE",V182="EE"),4,IF(V182="SE",5,IF(V182="ALI",7,IF(V182="AIE",5,"")))),
        IF('Dados da OS'!$D$8=Parâmetros!$B$3,
           IF(OR(ISBLANK(X182),ISBLANK(Z182)),"",
              IF(V182="ALI",IF(AE182="L",7,IF(AE182="A",10,15)),
                 IF(V182="AIE",IF(AE182="L",5,IF(AE182="A",7,10)),
                    IF(V182="SE",IF(AE182="L",4,IF(AE182="A",5,7)),
                       IF(OR(V182="EE",V182="CE"),IF(AE182="L",3,IF(AE182="A",4,6)),""))))))))),
   IF('Dados da OS'!$D$8=Parâmetros!$B$5,
      IF(OR(AND(V182="INM",AG182&lt;&gt;"VF"),AND(AG182="VF",V182&lt;&gt;"INM")),"",
         IF(V182="INM",IF(AG182="VF",AF182*AB182,""),
            IF(V182="PE",4.6,
            IF(V182="AL",7,"")))),
   IF('Dados da OS'!$D$8=Parâmetros!$B$6,
      IF(V182="ALI",35,IF(V182="AIE",15,"")),""))
    )
)</f>
        <v/>
      </c>
      <c r="AJ182" s="82" t="str">
        <f t="shared" si="22"/>
        <v/>
      </c>
      <c r="AK182" s="84"/>
      <c r="AL182" s="85" t="s">
        <v>21</v>
      </c>
      <c r="AM182" s="86"/>
      <c r="AN182" s="85"/>
      <c r="AO182" s="87"/>
      <c r="AP182" s="85"/>
      <c r="AQ182" s="86"/>
      <c r="AR182" s="85"/>
    </row>
    <row r="183" spans="1:44" ht="15.75" customHeight="1">
      <c r="A183" s="54"/>
      <c r="B183" s="100"/>
      <c r="C183" s="55"/>
      <c r="D183" s="55"/>
      <c r="E183" s="56"/>
      <c r="F183" s="55"/>
      <c r="G183" s="56"/>
      <c r="H183" s="55"/>
      <c r="I183" s="64"/>
      <c r="J183" s="57" t="str">
        <f t="shared" si="23"/>
        <v/>
      </c>
      <c r="K183" s="57" t="str">
        <f t="shared" si="24"/>
        <v/>
      </c>
      <c r="L183" s="57" t="str">
        <f xml:space="preserve">
IF(OR('Dados da OS'!$D$8=Parâmetros!$B$3,'Dados da OS'!$D$8=Parâmetros!$B$4),
  IF(OR(ISBLANK(D183),ISBLANK(F183)),
     IF(OR(B183="ALI",B183="AIE"),"L",IF(ISBLANK(B183),"","A")),
     IF(B183="EE",IF(F183&gt;=3,IF(D183&gt;=5,"H","A"),
     IF(F183&gt;=2,IF(D183&gt;=16,"H",IF(D183&lt;=4,"L","A")),IF(D183&lt;=15,"L","A"))),
     IF(OR(B183="SE",B183="CE"),IF(F183&gt;=4,IF(D183&gt;=6,"H","A"),IF(F183&gt;=2,IF(D183&gt;=20,"H",IF(D183&lt;=5,"L","A")),IF(D183&lt;=19,"L","A"))),
     IF(OR(B183="ALI",B183="AIE"),IF(F183&gt;=6,IF(D183&gt;=20,"H","A"),IF(F183&gt;=2,IF(D183&gt;=51,"H",IF(D183&lt;=19,"L","A")),IF(D183&lt;=50,"L","A"))))))),
IF('Dados da OS'!$D$8=Parâmetros!$B$6,"Indicativa",
IF('Dados da OS'!$D$8=Parâmetros!$B$5,"PFS","")))</f>
        <v/>
      </c>
      <c r="M183" s="57">
        <f>IFERROR(VLOOKUP(C183,'Fatores de Impacto e INMs'!$A$3:$D$32,3,0),1)</f>
        <v>1</v>
      </c>
      <c r="N183" s="57">
        <f>IFERROR(VLOOKUP(C183,'Fatores de Impacto e INMs'!$A$3:$E$32,5,0),1)</f>
        <v>1</v>
      </c>
      <c r="O183" s="63" t="str">
        <f xml:space="preserve">
IF(OR('Dados da OS'!$D$8="Selecione o tipo da contagem",ISBLANK('Dados da OS'!$D$8),B183="INM",B183="N/A",ISBLANK(B183),ISBLANK(C183),N183="VF"),"-",
   IF('Dados da OS'!$D$8=Parâmetros!$B$3,
      IF(OR(ISBLANK(D183),ISBLANK(F183)),"-",
         IF(L183="L","Baixa",IF(L183="A","Média",IF(L183="H","Alta","-")))),
      IF('Dados da OS'!$D$8=Parâmetros!$B$4,
         IF(OR(B183="ALI",B183="AIE"),"Baixa",IF(OR(B183="EE",B183="SE",B183="CE"),"Média","-")),
         IF(OR('Dados da OS'!$D$8=Parâmetros!$B$5,'Dados da OS'!$D$8=Parâmetros!$B$6),"-"))))</f>
        <v>-</v>
      </c>
      <c r="P183" s="59" t="str">
        <f xml:space="preserve">
IF(OR(ISBLANK(B183),ISBLANK(C183),B183="N/A",ISBLANK('Dados da OS'!$D$8)),"",
   IF(OR('Dados da OS'!$D$8=Parâmetros!$B$3,'Dados da OS'!$D$8=Parâmetros!$B$4),
      IF(OR(AND(B183="INM",N183&lt;&gt;"VF"),AND(N183="VF",B183&lt;&gt;"INM")),"",
        IF(AND(B183="INM",N183="VF"),IF(ISBLANK(H183),"",M183*H183),
        IF('Dados da OS'!$D$8=Parâmetros!$B$4,
           IF(OR(B183="CE",B183="EE"),4,IF(B183="SE",5,IF(B183="ALI",7,IF(B183="AIE",5,"")))),
        IF('Dados da OS'!$D$8=Parâmetros!$B$3,
           IF(OR(ISBLANK(D183),ISBLANK(F183)),"",
              IF(B183="ALI",IF(L183="L",7,IF(L183="A",10,15)),
                 IF(B183="AIE",IF(L183="L",5,IF(L183="A",7,10)),
                    IF(B183="SE",IF(L183="L",4,IF(L183="A",5,7)),
                       IF(OR(B183="EE",B183="CE"),IF(L183="L",3,IF(L183="A",4,6)),""))))))))),
   IF('Dados da OS'!$D$8=Parâmetros!$B$5,
      IF(OR(AND(B183="INM",N183&lt;&gt;"VF"),AND(N183="VF",B183&lt;&gt;"INM")),"",
         IF(B183="INM",IF(N183="VF",M183*H183,""),
            IF(B183="PE",4.6,
            IF(B183="AL",7,"")))),
   IF('Dados da OS'!$D$8=Parâmetros!$B$6,
      IF(B183="ALI",35,IF(B183="AIE",15,"")),""))
    )
)</f>
        <v/>
      </c>
      <c r="Q183" s="60" t="str">
        <f t="shared" si="19"/>
        <v/>
      </c>
      <c r="R183" s="61"/>
      <c r="S183" s="62"/>
      <c r="T183" s="80" t="s">
        <v>21</v>
      </c>
      <c r="U183" s="81"/>
      <c r="V183" s="99"/>
      <c r="W183" s="55"/>
      <c r="X183" s="55"/>
      <c r="Y183" s="56"/>
      <c r="Z183" s="55"/>
      <c r="AA183" s="56"/>
      <c r="AB183" s="55"/>
      <c r="AC183" s="57" t="str">
        <f t="shared" si="20"/>
        <v/>
      </c>
      <c r="AD183" s="57" t="str">
        <f t="shared" si="21"/>
        <v/>
      </c>
      <c r="AE183" s="57" t="str">
        <f xml:space="preserve">
IF(OR('Dados da OS'!$D$8=Parâmetros!$B$3,'Dados da OS'!$D$8=Parâmetros!$B$4),
  IF(OR(ISBLANK(X183),ISBLANK(Z183)),
     IF(OR(V183="ALI",V183="AIE"),"L",IF(ISBLANK(V183),"","A")),
     IF(V183="EE",IF(Z183&gt;=3,IF(X183&gt;=5,"H","A"),
     IF(Z183&gt;=2,IF(X183&gt;=16,"H",IF(X183&lt;=4,"L","A")),IF(X183&lt;=15,"L","A"))),
     IF(OR(V183="SE",V183="CE"),IF(Z183&gt;=4,IF(X183&gt;=6,"H","A"),IF(Z183&gt;=2,IF(X183&gt;=20,"H",IF(X183&lt;=5,"L","A")),IF(X183&lt;=19,"L","A"))),
     IF(OR(V183="ALI",V183="AIE"),IF(Z183&gt;=6,IF(X183&gt;=20,"H","A"),IF(Z183&gt;=2,IF(X183&gt;=51,"H",IF(X183&lt;=19,"L","A")),IF(X183&lt;=50,"L","A"))))))),
IF('Dados da OS'!$D$8=Parâmetros!$B$6,"Indicativa",
IF('Dados da OS'!$D$8=Parâmetros!$B$5,"PFS","")))</f>
        <v/>
      </c>
      <c r="AF183" s="57">
        <f>IFERROR(VLOOKUP(W183,'Fatores de Impacto e INMs'!$A$3:$D$32,3,0),1)</f>
        <v>1</v>
      </c>
      <c r="AG183" s="57">
        <f>IFERROR(VLOOKUP(W183,'Fatores de Impacto e INMs'!$A$3:$E$32,5,0),1)</f>
        <v>1</v>
      </c>
      <c r="AH183" s="82" t="str">
        <f xml:space="preserve">
IF(OR('Dados da OS'!$D$8="Selecione o tipo da contagem",ISBLANK('Dados da OS'!$D$8),V183="INM",V183="N/A",ISBLANK(V183),ISBLANK(W183),AG183="VF"),"-",
   IF('Dados da OS'!$D$8=Parâmetros!$B$3,
      IF(OR(ISBLANK(X183),ISBLANK(Z183)),"-",
         IF(AE183="L","Baixa",IF(AE183="A","Média",IF(AE183="H","Alta","-")))),
      IF('Dados da OS'!$D$8=Parâmetros!$B$4,
         IF(OR(V183="ALI",V183="AIE"),"Baixa",IF(OR(V183="EE",V183="SE",V183="CE"),"Média","-")),
         IF(OR('Dados da OS'!$D$8=Parâmetros!$B$5,'Dados da OS'!$D$8=Parâmetros!$B$6),"-"))))</f>
        <v>-</v>
      </c>
      <c r="AI183" s="83" t="str">
        <f xml:space="preserve">
IF(OR(ISBLANK(V183),ISBLANK(U183),ISBLANK(W183),V183="N/A",ISBLANK('Dados da OS'!$D$8)),"",
   IF(OR('Dados da OS'!$D$8=Parâmetros!$B$3,'Dados da OS'!$D$8=Parâmetros!$B$4),
      IF(OR(AND(V183="INM",AG183&lt;&gt;"VF"),AND(AG183="VF",V183&lt;&gt;"INM")),"",
        IF(AND(V183="INM",AG183="VF"),IF(ISBLANK(AB183),"",AF183*AB183),
        IF('Dados da OS'!$D$8=Parâmetros!$B$4,
           IF(OR(V183="CE",V183="EE"),4,IF(V183="SE",5,IF(V183="ALI",7,IF(V183="AIE",5,"")))),
        IF('Dados da OS'!$D$8=Parâmetros!$B$3,
           IF(OR(ISBLANK(X183),ISBLANK(Z183)),"",
              IF(V183="ALI",IF(AE183="L",7,IF(AE183="A",10,15)),
                 IF(V183="AIE",IF(AE183="L",5,IF(AE183="A",7,10)),
                    IF(V183="SE",IF(AE183="L",4,IF(AE183="A",5,7)),
                       IF(OR(V183="EE",V183="CE"),IF(AE183="L",3,IF(AE183="A",4,6)),""))))))))),
   IF('Dados da OS'!$D$8=Parâmetros!$B$5,
      IF(OR(AND(V183="INM",AG183&lt;&gt;"VF"),AND(AG183="VF",V183&lt;&gt;"INM")),"",
         IF(V183="INM",IF(AG183="VF",AF183*AB183,""),
            IF(V183="PE",4.6,
            IF(V183="AL",7,"")))),
   IF('Dados da OS'!$D$8=Parâmetros!$B$6,
      IF(V183="ALI",35,IF(V183="AIE",15,"")),""))
    )
)</f>
        <v/>
      </c>
      <c r="AJ183" s="82" t="str">
        <f t="shared" si="22"/>
        <v/>
      </c>
      <c r="AK183" s="84"/>
      <c r="AL183" s="85" t="s">
        <v>21</v>
      </c>
      <c r="AM183" s="86"/>
      <c r="AN183" s="85"/>
      <c r="AO183" s="87"/>
      <c r="AP183" s="85"/>
      <c r="AQ183" s="86"/>
      <c r="AR183" s="85"/>
    </row>
    <row r="184" spans="1:44" ht="15.75" customHeight="1">
      <c r="A184" s="54"/>
      <c r="B184" s="100"/>
      <c r="C184" s="55"/>
      <c r="D184" s="55"/>
      <c r="E184" s="56"/>
      <c r="F184" s="55"/>
      <c r="G184" s="56"/>
      <c r="H184" s="55"/>
      <c r="I184" s="64"/>
      <c r="J184" s="57" t="str">
        <f t="shared" si="23"/>
        <v/>
      </c>
      <c r="K184" s="57" t="str">
        <f t="shared" si="24"/>
        <v/>
      </c>
      <c r="L184" s="57" t="str">
        <f xml:space="preserve">
IF(OR('Dados da OS'!$D$8=Parâmetros!$B$3,'Dados da OS'!$D$8=Parâmetros!$B$4),
  IF(OR(ISBLANK(D184),ISBLANK(F184)),
     IF(OR(B184="ALI",B184="AIE"),"L",IF(ISBLANK(B184),"","A")),
     IF(B184="EE",IF(F184&gt;=3,IF(D184&gt;=5,"H","A"),
     IF(F184&gt;=2,IF(D184&gt;=16,"H",IF(D184&lt;=4,"L","A")),IF(D184&lt;=15,"L","A"))),
     IF(OR(B184="SE",B184="CE"),IF(F184&gt;=4,IF(D184&gt;=6,"H","A"),IF(F184&gt;=2,IF(D184&gt;=20,"H",IF(D184&lt;=5,"L","A")),IF(D184&lt;=19,"L","A"))),
     IF(OR(B184="ALI",B184="AIE"),IF(F184&gt;=6,IF(D184&gt;=20,"H","A"),IF(F184&gt;=2,IF(D184&gt;=51,"H",IF(D184&lt;=19,"L","A")),IF(D184&lt;=50,"L","A"))))))),
IF('Dados da OS'!$D$8=Parâmetros!$B$6,"Indicativa",
IF('Dados da OS'!$D$8=Parâmetros!$B$5,"PFS","")))</f>
        <v/>
      </c>
      <c r="M184" s="57">
        <f>IFERROR(VLOOKUP(C184,'Fatores de Impacto e INMs'!$A$3:$D$32,3,0),1)</f>
        <v>1</v>
      </c>
      <c r="N184" s="57">
        <f>IFERROR(VLOOKUP(C184,'Fatores de Impacto e INMs'!$A$3:$E$32,5,0),1)</f>
        <v>1</v>
      </c>
      <c r="O184" s="63" t="str">
        <f xml:space="preserve">
IF(OR('Dados da OS'!$D$8="Selecione o tipo da contagem",ISBLANK('Dados da OS'!$D$8),B184="INM",B184="N/A",ISBLANK(B184),ISBLANK(C184),N184="VF"),"-",
   IF('Dados da OS'!$D$8=Parâmetros!$B$3,
      IF(OR(ISBLANK(D184),ISBLANK(F184)),"-",
         IF(L184="L","Baixa",IF(L184="A","Média",IF(L184="H","Alta","-")))),
      IF('Dados da OS'!$D$8=Parâmetros!$B$4,
         IF(OR(B184="ALI",B184="AIE"),"Baixa",IF(OR(B184="EE",B184="SE",B184="CE"),"Média","-")),
         IF(OR('Dados da OS'!$D$8=Parâmetros!$B$5,'Dados da OS'!$D$8=Parâmetros!$B$6),"-"))))</f>
        <v>-</v>
      </c>
      <c r="P184" s="59" t="str">
        <f xml:space="preserve">
IF(OR(ISBLANK(B184),ISBLANK(C184),B184="N/A",ISBLANK('Dados da OS'!$D$8)),"",
   IF(OR('Dados da OS'!$D$8=Parâmetros!$B$3,'Dados da OS'!$D$8=Parâmetros!$B$4),
      IF(OR(AND(B184="INM",N184&lt;&gt;"VF"),AND(N184="VF",B184&lt;&gt;"INM")),"",
        IF(AND(B184="INM",N184="VF"),IF(ISBLANK(H184),"",M184*H184),
        IF('Dados da OS'!$D$8=Parâmetros!$B$4,
           IF(OR(B184="CE",B184="EE"),4,IF(B184="SE",5,IF(B184="ALI",7,IF(B184="AIE",5,"")))),
        IF('Dados da OS'!$D$8=Parâmetros!$B$3,
           IF(OR(ISBLANK(D184),ISBLANK(F184)),"",
              IF(B184="ALI",IF(L184="L",7,IF(L184="A",10,15)),
                 IF(B184="AIE",IF(L184="L",5,IF(L184="A",7,10)),
                    IF(B184="SE",IF(L184="L",4,IF(L184="A",5,7)),
                       IF(OR(B184="EE",B184="CE"),IF(L184="L",3,IF(L184="A",4,6)),""))))))))),
   IF('Dados da OS'!$D$8=Parâmetros!$B$5,
      IF(OR(AND(B184="INM",N184&lt;&gt;"VF"),AND(N184="VF",B184&lt;&gt;"INM")),"",
         IF(B184="INM",IF(N184="VF",M184*H184,""),
            IF(B184="PE",4.6,
            IF(B184="AL",7,"")))),
   IF('Dados da OS'!$D$8=Parâmetros!$B$6,
      IF(B184="ALI",35,IF(B184="AIE",15,"")),""))
    )
)</f>
        <v/>
      </c>
      <c r="Q184" s="60" t="str">
        <f t="shared" si="19"/>
        <v/>
      </c>
      <c r="R184" s="61"/>
      <c r="S184" s="62"/>
      <c r="T184" s="80" t="s">
        <v>21</v>
      </c>
      <c r="U184" s="81"/>
      <c r="V184" s="99"/>
      <c r="W184" s="55"/>
      <c r="X184" s="55"/>
      <c r="Y184" s="56"/>
      <c r="Z184" s="55"/>
      <c r="AA184" s="56"/>
      <c r="AB184" s="55"/>
      <c r="AC184" s="57" t="str">
        <f t="shared" si="20"/>
        <v/>
      </c>
      <c r="AD184" s="57" t="str">
        <f t="shared" si="21"/>
        <v/>
      </c>
      <c r="AE184" s="57" t="str">
        <f xml:space="preserve">
IF(OR('Dados da OS'!$D$8=Parâmetros!$B$3,'Dados da OS'!$D$8=Parâmetros!$B$4),
  IF(OR(ISBLANK(X184),ISBLANK(Z184)),
     IF(OR(V184="ALI",V184="AIE"),"L",IF(ISBLANK(V184),"","A")),
     IF(V184="EE",IF(Z184&gt;=3,IF(X184&gt;=5,"H","A"),
     IF(Z184&gt;=2,IF(X184&gt;=16,"H",IF(X184&lt;=4,"L","A")),IF(X184&lt;=15,"L","A"))),
     IF(OR(V184="SE",V184="CE"),IF(Z184&gt;=4,IF(X184&gt;=6,"H","A"),IF(Z184&gt;=2,IF(X184&gt;=20,"H",IF(X184&lt;=5,"L","A")),IF(X184&lt;=19,"L","A"))),
     IF(OR(V184="ALI",V184="AIE"),IF(Z184&gt;=6,IF(X184&gt;=20,"H","A"),IF(Z184&gt;=2,IF(X184&gt;=51,"H",IF(X184&lt;=19,"L","A")),IF(X184&lt;=50,"L","A"))))))),
IF('Dados da OS'!$D$8=Parâmetros!$B$6,"Indicativa",
IF('Dados da OS'!$D$8=Parâmetros!$B$5,"PFS","")))</f>
        <v/>
      </c>
      <c r="AF184" s="57">
        <f>IFERROR(VLOOKUP(W184,'Fatores de Impacto e INMs'!$A$3:$D$32,3,0),1)</f>
        <v>1</v>
      </c>
      <c r="AG184" s="57">
        <f>IFERROR(VLOOKUP(W184,'Fatores de Impacto e INMs'!$A$3:$E$32,5,0),1)</f>
        <v>1</v>
      </c>
      <c r="AH184" s="82" t="str">
        <f xml:space="preserve">
IF(OR('Dados da OS'!$D$8="Selecione o tipo da contagem",ISBLANK('Dados da OS'!$D$8),V184="INM",V184="N/A",ISBLANK(V184),ISBLANK(W184),AG184="VF"),"-",
   IF('Dados da OS'!$D$8=Parâmetros!$B$3,
      IF(OR(ISBLANK(X184),ISBLANK(Z184)),"-",
         IF(AE184="L","Baixa",IF(AE184="A","Média",IF(AE184="H","Alta","-")))),
      IF('Dados da OS'!$D$8=Parâmetros!$B$4,
         IF(OR(V184="ALI",V184="AIE"),"Baixa",IF(OR(V184="EE",V184="SE",V184="CE"),"Média","-")),
         IF(OR('Dados da OS'!$D$8=Parâmetros!$B$5,'Dados da OS'!$D$8=Parâmetros!$B$6),"-"))))</f>
        <v>-</v>
      </c>
      <c r="AI184" s="83" t="str">
        <f xml:space="preserve">
IF(OR(ISBLANK(V184),ISBLANK(U184),ISBLANK(W184),V184="N/A",ISBLANK('Dados da OS'!$D$8)),"",
   IF(OR('Dados da OS'!$D$8=Parâmetros!$B$3,'Dados da OS'!$D$8=Parâmetros!$B$4),
      IF(OR(AND(V184="INM",AG184&lt;&gt;"VF"),AND(AG184="VF",V184&lt;&gt;"INM")),"",
        IF(AND(V184="INM",AG184="VF"),IF(ISBLANK(AB184),"",AF184*AB184),
        IF('Dados da OS'!$D$8=Parâmetros!$B$4,
           IF(OR(V184="CE",V184="EE"),4,IF(V184="SE",5,IF(V184="ALI",7,IF(V184="AIE",5,"")))),
        IF('Dados da OS'!$D$8=Parâmetros!$B$3,
           IF(OR(ISBLANK(X184),ISBLANK(Z184)),"",
              IF(V184="ALI",IF(AE184="L",7,IF(AE184="A",10,15)),
                 IF(V184="AIE",IF(AE184="L",5,IF(AE184="A",7,10)),
                    IF(V184="SE",IF(AE184="L",4,IF(AE184="A",5,7)),
                       IF(OR(V184="EE",V184="CE"),IF(AE184="L",3,IF(AE184="A",4,6)),""))))))))),
   IF('Dados da OS'!$D$8=Parâmetros!$B$5,
      IF(OR(AND(V184="INM",AG184&lt;&gt;"VF"),AND(AG184="VF",V184&lt;&gt;"INM")),"",
         IF(V184="INM",IF(AG184="VF",AF184*AB184,""),
            IF(V184="PE",4.6,
            IF(V184="AL",7,"")))),
   IF('Dados da OS'!$D$8=Parâmetros!$B$6,
      IF(V184="ALI",35,IF(V184="AIE",15,"")),""))
    )
)</f>
        <v/>
      </c>
      <c r="AJ184" s="82" t="str">
        <f t="shared" si="22"/>
        <v/>
      </c>
      <c r="AK184" s="84"/>
      <c r="AL184" s="85" t="s">
        <v>21</v>
      </c>
      <c r="AM184" s="86"/>
      <c r="AN184" s="85"/>
      <c r="AO184" s="87"/>
      <c r="AP184" s="85"/>
      <c r="AQ184" s="86"/>
      <c r="AR184" s="85"/>
    </row>
    <row r="185" spans="1:44" ht="15.75" customHeight="1">
      <c r="A185" s="54"/>
      <c r="B185" s="100"/>
      <c r="C185" s="55"/>
      <c r="D185" s="55"/>
      <c r="E185" s="56"/>
      <c r="F185" s="55"/>
      <c r="G185" s="56"/>
      <c r="H185" s="55"/>
      <c r="I185" s="64"/>
      <c r="J185" s="57" t="str">
        <f t="shared" si="23"/>
        <v/>
      </c>
      <c r="K185" s="57" t="str">
        <f t="shared" si="24"/>
        <v/>
      </c>
      <c r="L185" s="57" t="str">
        <f xml:space="preserve">
IF(OR('Dados da OS'!$D$8=Parâmetros!$B$3,'Dados da OS'!$D$8=Parâmetros!$B$4),
  IF(OR(ISBLANK(D185),ISBLANK(F185)),
     IF(OR(B185="ALI",B185="AIE"),"L",IF(ISBLANK(B185),"","A")),
     IF(B185="EE",IF(F185&gt;=3,IF(D185&gt;=5,"H","A"),
     IF(F185&gt;=2,IF(D185&gt;=16,"H",IF(D185&lt;=4,"L","A")),IF(D185&lt;=15,"L","A"))),
     IF(OR(B185="SE",B185="CE"),IF(F185&gt;=4,IF(D185&gt;=6,"H","A"),IF(F185&gt;=2,IF(D185&gt;=20,"H",IF(D185&lt;=5,"L","A")),IF(D185&lt;=19,"L","A"))),
     IF(OR(B185="ALI",B185="AIE"),IF(F185&gt;=6,IF(D185&gt;=20,"H","A"),IF(F185&gt;=2,IF(D185&gt;=51,"H",IF(D185&lt;=19,"L","A")),IF(D185&lt;=50,"L","A"))))))),
IF('Dados da OS'!$D$8=Parâmetros!$B$6,"Indicativa",
IF('Dados da OS'!$D$8=Parâmetros!$B$5,"PFS","")))</f>
        <v/>
      </c>
      <c r="M185" s="57">
        <f>IFERROR(VLOOKUP(C185,'Fatores de Impacto e INMs'!$A$3:$D$32,3,0),1)</f>
        <v>1</v>
      </c>
      <c r="N185" s="57">
        <f>IFERROR(VLOOKUP(C185,'Fatores de Impacto e INMs'!$A$3:$E$32,5,0),1)</f>
        <v>1</v>
      </c>
      <c r="O185" s="63" t="str">
        <f xml:space="preserve">
IF(OR('Dados da OS'!$D$8="Selecione o tipo da contagem",ISBLANK('Dados da OS'!$D$8),B185="INM",B185="N/A",ISBLANK(B185),ISBLANK(C185),N185="VF"),"-",
   IF('Dados da OS'!$D$8=Parâmetros!$B$3,
      IF(OR(ISBLANK(D185),ISBLANK(F185)),"-",
         IF(L185="L","Baixa",IF(L185="A","Média",IF(L185="H","Alta","-")))),
      IF('Dados da OS'!$D$8=Parâmetros!$B$4,
         IF(OR(B185="ALI",B185="AIE"),"Baixa",IF(OR(B185="EE",B185="SE",B185="CE"),"Média","-")),
         IF(OR('Dados da OS'!$D$8=Parâmetros!$B$5,'Dados da OS'!$D$8=Parâmetros!$B$6),"-"))))</f>
        <v>-</v>
      </c>
      <c r="P185" s="59" t="str">
        <f xml:space="preserve">
IF(OR(ISBLANK(B185),ISBLANK(C185),B185="N/A",ISBLANK('Dados da OS'!$D$8)),"",
   IF(OR('Dados da OS'!$D$8=Parâmetros!$B$3,'Dados da OS'!$D$8=Parâmetros!$B$4),
      IF(OR(AND(B185="INM",N185&lt;&gt;"VF"),AND(N185="VF",B185&lt;&gt;"INM")),"",
        IF(AND(B185="INM",N185="VF"),IF(ISBLANK(H185),"",M185*H185),
        IF('Dados da OS'!$D$8=Parâmetros!$B$4,
           IF(OR(B185="CE",B185="EE"),4,IF(B185="SE",5,IF(B185="ALI",7,IF(B185="AIE",5,"")))),
        IF('Dados da OS'!$D$8=Parâmetros!$B$3,
           IF(OR(ISBLANK(D185),ISBLANK(F185)),"",
              IF(B185="ALI",IF(L185="L",7,IF(L185="A",10,15)),
                 IF(B185="AIE",IF(L185="L",5,IF(L185="A",7,10)),
                    IF(B185="SE",IF(L185="L",4,IF(L185="A",5,7)),
                       IF(OR(B185="EE",B185="CE"),IF(L185="L",3,IF(L185="A",4,6)),""))))))))),
   IF('Dados da OS'!$D$8=Parâmetros!$B$5,
      IF(OR(AND(B185="INM",N185&lt;&gt;"VF"),AND(N185="VF",B185&lt;&gt;"INM")),"",
         IF(B185="INM",IF(N185="VF",M185*H185,""),
            IF(B185="PE",4.6,
            IF(B185="AL",7,"")))),
   IF('Dados da OS'!$D$8=Parâmetros!$B$6,
      IF(B185="ALI",35,IF(B185="AIE",15,"")),""))
    )
)</f>
        <v/>
      </c>
      <c r="Q185" s="60" t="str">
        <f t="shared" si="19"/>
        <v/>
      </c>
      <c r="R185" s="61"/>
      <c r="S185" s="62"/>
      <c r="T185" s="80" t="s">
        <v>21</v>
      </c>
      <c r="U185" s="81"/>
      <c r="V185" s="99"/>
      <c r="W185" s="55"/>
      <c r="X185" s="55"/>
      <c r="Y185" s="56"/>
      <c r="Z185" s="55"/>
      <c r="AA185" s="56"/>
      <c r="AB185" s="55"/>
      <c r="AC185" s="57" t="str">
        <f t="shared" si="20"/>
        <v/>
      </c>
      <c r="AD185" s="57" t="str">
        <f t="shared" si="21"/>
        <v/>
      </c>
      <c r="AE185" s="57" t="str">
        <f xml:space="preserve">
IF(OR('Dados da OS'!$D$8=Parâmetros!$B$3,'Dados da OS'!$D$8=Parâmetros!$B$4),
  IF(OR(ISBLANK(X185),ISBLANK(Z185)),
     IF(OR(V185="ALI",V185="AIE"),"L",IF(ISBLANK(V185),"","A")),
     IF(V185="EE",IF(Z185&gt;=3,IF(X185&gt;=5,"H","A"),
     IF(Z185&gt;=2,IF(X185&gt;=16,"H",IF(X185&lt;=4,"L","A")),IF(X185&lt;=15,"L","A"))),
     IF(OR(V185="SE",V185="CE"),IF(Z185&gt;=4,IF(X185&gt;=6,"H","A"),IF(Z185&gt;=2,IF(X185&gt;=20,"H",IF(X185&lt;=5,"L","A")),IF(X185&lt;=19,"L","A"))),
     IF(OR(V185="ALI",V185="AIE"),IF(Z185&gt;=6,IF(X185&gt;=20,"H","A"),IF(Z185&gt;=2,IF(X185&gt;=51,"H",IF(X185&lt;=19,"L","A")),IF(X185&lt;=50,"L","A"))))))),
IF('Dados da OS'!$D$8=Parâmetros!$B$6,"Indicativa",
IF('Dados da OS'!$D$8=Parâmetros!$B$5,"PFS","")))</f>
        <v/>
      </c>
      <c r="AF185" s="57">
        <f>IFERROR(VLOOKUP(W185,'Fatores de Impacto e INMs'!$A$3:$D$32,3,0),1)</f>
        <v>1</v>
      </c>
      <c r="AG185" s="57">
        <f>IFERROR(VLOOKUP(W185,'Fatores de Impacto e INMs'!$A$3:$E$32,5,0),1)</f>
        <v>1</v>
      </c>
      <c r="AH185" s="82" t="str">
        <f xml:space="preserve">
IF(OR('Dados da OS'!$D$8="Selecione o tipo da contagem",ISBLANK('Dados da OS'!$D$8),V185="INM",V185="N/A",ISBLANK(V185),ISBLANK(W185),AG185="VF"),"-",
   IF('Dados da OS'!$D$8=Parâmetros!$B$3,
      IF(OR(ISBLANK(X185),ISBLANK(Z185)),"-",
         IF(AE185="L","Baixa",IF(AE185="A","Média",IF(AE185="H","Alta","-")))),
      IF('Dados da OS'!$D$8=Parâmetros!$B$4,
         IF(OR(V185="ALI",V185="AIE"),"Baixa",IF(OR(V185="EE",V185="SE",V185="CE"),"Média","-")),
         IF(OR('Dados da OS'!$D$8=Parâmetros!$B$5,'Dados da OS'!$D$8=Parâmetros!$B$6),"-"))))</f>
        <v>-</v>
      </c>
      <c r="AI185" s="83" t="str">
        <f xml:space="preserve">
IF(OR(ISBLANK(V185),ISBLANK(U185),ISBLANK(W185),V185="N/A",ISBLANK('Dados da OS'!$D$8)),"",
   IF(OR('Dados da OS'!$D$8=Parâmetros!$B$3,'Dados da OS'!$D$8=Parâmetros!$B$4),
      IF(OR(AND(V185="INM",AG185&lt;&gt;"VF"),AND(AG185="VF",V185&lt;&gt;"INM")),"",
        IF(AND(V185="INM",AG185="VF"),IF(ISBLANK(AB185),"",AF185*AB185),
        IF('Dados da OS'!$D$8=Parâmetros!$B$4,
           IF(OR(V185="CE",V185="EE"),4,IF(V185="SE",5,IF(V185="ALI",7,IF(V185="AIE",5,"")))),
        IF('Dados da OS'!$D$8=Parâmetros!$B$3,
           IF(OR(ISBLANK(X185),ISBLANK(Z185)),"",
              IF(V185="ALI",IF(AE185="L",7,IF(AE185="A",10,15)),
                 IF(V185="AIE",IF(AE185="L",5,IF(AE185="A",7,10)),
                    IF(V185="SE",IF(AE185="L",4,IF(AE185="A",5,7)),
                       IF(OR(V185="EE",V185="CE"),IF(AE185="L",3,IF(AE185="A",4,6)),""))))))))),
   IF('Dados da OS'!$D$8=Parâmetros!$B$5,
      IF(OR(AND(V185="INM",AG185&lt;&gt;"VF"),AND(AG185="VF",V185&lt;&gt;"INM")),"",
         IF(V185="INM",IF(AG185="VF",AF185*AB185,""),
            IF(V185="PE",4.6,
            IF(V185="AL",7,"")))),
   IF('Dados da OS'!$D$8=Parâmetros!$B$6,
      IF(V185="ALI",35,IF(V185="AIE",15,"")),""))
    )
)</f>
        <v/>
      </c>
      <c r="AJ185" s="82" t="str">
        <f t="shared" si="22"/>
        <v/>
      </c>
      <c r="AK185" s="84"/>
      <c r="AL185" s="85" t="s">
        <v>21</v>
      </c>
      <c r="AM185" s="86"/>
      <c r="AN185" s="85"/>
      <c r="AO185" s="87"/>
      <c r="AP185" s="85"/>
      <c r="AQ185" s="86"/>
      <c r="AR185" s="85"/>
    </row>
    <row r="186" spans="1:44" ht="15.75" customHeight="1">
      <c r="A186" s="54"/>
      <c r="B186" s="100"/>
      <c r="C186" s="55"/>
      <c r="D186" s="55"/>
      <c r="E186" s="56"/>
      <c r="F186" s="55"/>
      <c r="G186" s="56"/>
      <c r="H186" s="55"/>
      <c r="I186" s="64"/>
      <c r="J186" s="57" t="str">
        <f t="shared" si="23"/>
        <v/>
      </c>
      <c r="K186" s="57" t="str">
        <f t="shared" si="24"/>
        <v/>
      </c>
      <c r="L186" s="57" t="str">
        <f xml:space="preserve">
IF(OR('Dados da OS'!$D$8=Parâmetros!$B$3,'Dados da OS'!$D$8=Parâmetros!$B$4),
  IF(OR(ISBLANK(D186),ISBLANK(F186)),
     IF(OR(B186="ALI",B186="AIE"),"L",IF(ISBLANK(B186),"","A")),
     IF(B186="EE",IF(F186&gt;=3,IF(D186&gt;=5,"H","A"),
     IF(F186&gt;=2,IF(D186&gt;=16,"H",IF(D186&lt;=4,"L","A")),IF(D186&lt;=15,"L","A"))),
     IF(OR(B186="SE",B186="CE"),IF(F186&gt;=4,IF(D186&gt;=6,"H","A"),IF(F186&gt;=2,IF(D186&gt;=20,"H",IF(D186&lt;=5,"L","A")),IF(D186&lt;=19,"L","A"))),
     IF(OR(B186="ALI",B186="AIE"),IF(F186&gt;=6,IF(D186&gt;=20,"H","A"),IF(F186&gt;=2,IF(D186&gt;=51,"H",IF(D186&lt;=19,"L","A")),IF(D186&lt;=50,"L","A"))))))),
IF('Dados da OS'!$D$8=Parâmetros!$B$6,"Indicativa",
IF('Dados da OS'!$D$8=Parâmetros!$B$5,"PFS","")))</f>
        <v/>
      </c>
      <c r="M186" s="57">
        <f>IFERROR(VLOOKUP(C186,'Fatores de Impacto e INMs'!$A$3:$D$32,3,0),1)</f>
        <v>1</v>
      </c>
      <c r="N186" s="57">
        <f>IFERROR(VLOOKUP(C186,'Fatores de Impacto e INMs'!$A$3:$E$32,5,0),1)</f>
        <v>1</v>
      </c>
      <c r="O186" s="63" t="str">
        <f xml:space="preserve">
IF(OR('Dados da OS'!$D$8="Selecione o tipo da contagem",ISBLANK('Dados da OS'!$D$8),B186="INM",B186="N/A",ISBLANK(B186),ISBLANK(C186),N186="VF"),"-",
   IF('Dados da OS'!$D$8=Parâmetros!$B$3,
      IF(OR(ISBLANK(D186),ISBLANK(F186)),"-",
         IF(L186="L","Baixa",IF(L186="A","Média",IF(L186="H","Alta","-")))),
      IF('Dados da OS'!$D$8=Parâmetros!$B$4,
         IF(OR(B186="ALI",B186="AIE"),"Baixa",IF(OR(B186="EE",B186="SE",B186="CE"),"Média","-")),
         IF(OR('Dados da OS'!$D$8=Parâmetros!$B$5,'Dados da OS'!$D$8=Parâmetros!$B$6),"-"))))</f>
        <v>-</v>
      </c>
      <c r="P186" s="59" t="str">
        <f xml:space="preserve">
IF(OR(ISBLANK(B186),ISBLANK(C186),B186="N/A",ISBLANK('Dados da OS'!$D$8)),"",
   IF(OR('Dados da OS'!$D$8=Parâmetros!$B$3,'Dados da OS'!$D$8=Parâmetros!$B$4),
      IF(OR(AND(B186="INM",N186&lt;&gt;"VF"),AND(N186="VF",B186&lt;&gt;"INM")),"",
        IF(AND(B186="INM",N186="VF"),IF(ISBLANK(H186),"",M186*H186),
        IF('Dados da OS'!$D$8=Parâmetros!$B$4,
           IF(OR(B186="CE",B186="EE"),4,IF(B186="SE",5,IF(B186="ALI",7,IF(B186="AIE",5,"")))),
        IF('Dados da OS'!$D$8=Parâmetros!$B$3,
           IF(OR(ISBLANK(D186),ISBLANK(F186)),"",
              IF(B186="ALI",IF(L186="L",7,IF(L186="A",10,15)),
                 IF(B186="AIE",IF(L186="L",5,IF(L186="A",7,10)),
                    IF(B186="SE",IF(L186="L",4,IF(L186="A",5,7)),
                       IF(OR(B186="EE",B186="CE"),IF(L186="L",3,IF(L186="A",4,6)),""))))))))),
   IF('Dados da OS'!$D$8=Parâmetros!$B$5,
      IF(OR(AND(B186="INM",N186&lt;&gt;"VF"),AND(N186="VF",B186&lt;&gt;"INM")),"",
         IF(B186="INM",IF(N186="VF",M186*H186,""),
            IF(B186="PE",4.6,
            IF(B186="AL",7,"")))),
   IF('Dados da OS'!$D$8=Parâmetros!$B$6,
      IF(B186="ALI",35,IF(B186="AIE",15,"")),""))
    )
)</f>
        <v/>
      </c>
      <c r="Q186" s="60" t="str">
        <f t="shared" si="19"/>
        <v/>
      </c>
      <c r="R186" s="61"/>
      <c r="S186" s="62"/>
      <c r="T186" s="80" t="s">
        <v>21</v>
      </c>
      <c r="U186" s="81"/>
      <c r="V186" s="99"/>
      <c r="W186" s="55"/>
      <c r="X186" s="55"/>
      <c r="Y186" s="56"/>
      <c r="Z186" s="55"/>
      <c r="AA186" s="56"/>
      <c r="AB186" s="55"/>
      <c r="AC186" s="57" t="str">
        <f t="shared" si="20"/>
        <v/>
      </c>
      <c r="AD186" s="57" t="str">
        <f t="shared" si="21"/>
        <v/>
      </c>
      <c r="AE186" s="57" t="str">
        <f xml:space="preserve">
IF(OR('Dados da OS'!$D$8=Parâmetros!$B$3,'Dados da OS'!$D$8=Parâmetros!$B$4),
  IF(OR(ISBLANK(X186),ISBLANK(Z186)),
     IF(OR(V186="ALI",V186="AIE"),"L",IF(ISBLANK(V186),"","A")),
     IF(V186="EE",IF(Z186&gt;=3,IF(X186&gt;=5,"H","A"),
     IF(Z186&gt;=2,IF(X186&gt;=16,"H",IF(X186&lt;=4,"L","A")),IF(X186&lt;=15,"L","A"))),
     IF(OR(V186="SE",V186="CE"),IF(Z186&gt;=4,IF(X186&gt;=6,"H","A"),IF(Z186&gt;=2,IF(X186&gt;=20,"H",IF(X186&lt;=5,"L","A")),IF(X186&lt;=19,"L","A"))),
     IF(OR(V186="ALI",V186="AIE"),IF(Z186&gt;=6,IF(X186&gt;=20,"H","A"),IF(Z186&gt;=2,IF(X186&gt;=51,"H",IF(X186&lt;=19,"L","A")),IF(X186&lt;=50,"L","A"))))))),
IF('Dados da OS'!$D$8=Parâmetros!$B$6,"Indicativa",
IF('Dados da OS'!$D$8=Parâmetros!$B$5,"PFS","")))</f>
        <v/>
      </c>
      <c r="AF186" s="57">
        <f>IFERROR(VLOOKUP(W186,'Fatores de Impacto e INMs'!$A$3:$D$32,3,0),1)</f>
        <v>1</v>
      </c>
      <c r="AG186" s="57">
        <f>IFERROR(VLOOKUP(W186,'Fatores de Impacto e INMs'!$A$3:$E$32,5,0),1)</f>
        <v>1</v>
      </c>
      <c r="AH186" s="82" t="str">
        <f xml:space="preserve">
IF(OR('Dados da OS'!$D$8="Selecione o tipo da contagem",ISBLANK('Dados da OS'!$D$8),V186="INM",V186="N/A",ISBLANK(V186),ISBLANK(W186),AG186="VF"),"-",
   IF('Dados da OS'!$D$8=Parâmetros!$B$3,
      IF(OR(ISBLANK(X186),ISBLANK(Z186)),"-",
         IF(AE186="L","Baixa",IF(AE186="A","Média",IF(AE186="H","Alta","-")))),
      IF('Dados da OS'!$D$8=Parâmetros!$B$4,
         IF(OR(V186="ALI",V186="AIE"),"Baixa",IF(OR(V186="EE",V186="SE",V186="CE"),"Média","-")),
         IF(OR('Dados da OS'!$D$8=Parâmetros!$B$5,'Dados da OS'!$D$8=Parâmetros!$B$6),"-"))))</f>
        <v>-</v>
      </c>
      <c r="AI186" s="83" t="str">
        <f xml:space="preserve">
IF(OR(ISBLANK(V186),ISBLANK(U186),ISBLANK(W186),V186="N/A",ISBLANK('Dados da OS'!$D$8)),"",
   IF(OR('Dados da OS'!$D$8=Parâmetros!$B$3,'Dados da OS'!$D$8=Parâmetros!$B$4),
      IF(OR(AND(V186="INM",AG186&lt;&gt;"VF"),AND(AG186="VF",V186&lt;&gt;"INM")),"",
        IF(AND(V186="INM",AG186="VF"),IF(ISBLANK(AB186),"",AF186*AB186),
        IF('Dados da OS'!$D$8=Parâmetros!$B$4,
           IF(OR(V186="CE",V186="EE"),4,IF(V186="SE",5,IF(V186="ALI",7,IF(V186="AIE",5,"")))),
        IF('Dados da OS'!$D$8=Parâmetros!$B$3,
           IF(OR(ISBLANK(X186),ISBLANK(Z186)),"",
              IF(V186="ALI",IF(AE186="L",7,IF(AE186="A",10,15)),
                 IF(V186="AIE",IF(AE186="L",5,IF(AE186="A",7,10)),
                    IF(V186="SE",IF(AE186="L",4,IF(AE186="A",5,7)),
                       IF(OR(V186="EE",V186="CE"),IF(AE186="L",3,IF(AE186="A",4,6)),""))))))))),
   IF('Dados da OS'!$D$8=Parâmetros!$B$5,
      IF(OR(AND(V186="INM",AG186&lt;&gt;"VF"),AND(AG186="VF",V186&lt;&gt;"INM")),"",
         IF(V186="INM",IF(AG186="VF",AF186*AB186,""),
            IF(V186="PE",4.6,
            IF(V186="AL",7,"")))),
   IF('Dados da OS'!$D$8=Parâmetros!$B$6,
      IF(V186="ALI",35,IF(V186="AIE",15,"")),""))
    )
)</f>
        <v/>
      </c>
      <c r="AJ186" s="82" t="str">
        <f t="shared" si="22"/>
        <v/>
      </c>
      <c r="AK186" s="84"/>
      <c r="AL186" s="85" t="s">
        <v>21</v>
      </c>
      <c r="AM186" s="86"/>
      <c r="AN186" s="85"/>
      <c r="AO186" s="87"/>
      <c r="AP186" s="85"/>
      <c r="AQ186" s="86"/>
      <c r="AR186" s="85"/>
    </row>
    <row r="187" spans="1:44" ht="15.75" customHeight="1">
      <c r="A187" s="54"/>
      <c r="B187" s="100"/>
      <c r="C187" s="55"/>
      <c r="D187" s="55"/>
      <c r="E187" s="56"/>
      <c r="F187" s="55"/>
      <c r="G187" s="56"/>
      <c r="H187" s="55"/>
      <c r="I187" s="64"/>
      <c r="J187" s="57" t="str">
        <f t="shared" si="23"/>
        <v/>
      </c>
      <c r="K187" s="57" t="str">
        <f t="shared" si="24"/>
        <v/>
      </c>
      <c r="L187" s="57" t="str">
        <f xml:space="preserve">
IF(OR('Dados da OS'!$D$8=Parâmetros!$B$3,'Dados da OS'!$D$8=Parâmetros!$B$4),
  IF(OR(ISBLANK(D187),ISBLANK(F187)),
     IF(OR(B187="ALI",B187="AIE"),"L",IF(ISBLANK(B187),"","A")),
     IF(B187="EE",IF(F187&gt;=3,IF(D187&gt;=5,"H","A"),
     IF(F187&gt;=2,IF(D187&gt;=16,"H",IF(D187&lt;=4,"L","A")),IF(D187&lt;=15,"L","A"))),
     IF(OR(B187="SE",B187="CE"),IF(F187&gt;=4,IF(D187&gt;=6,"H","A"),IF(F187&gt;=2,IF(D187&gt;=20,"H",IF(D187&lt;=5,"L","A")),IF(D187&lt;=19,"L","A"))),
     IF(OR(B187="ALI",B187="AIE"),IF(F187&gt;=6,IF(D187&gt;=20,"H","A"),IF(F187&gt;=2,IF(D187&gt;=51,"H",IF(D187&lt;=19,"L","A")),IF(D187&lt;=50,"L","A"))))))),
IF('Dados da OS'!$D$8=Parâmetros!$B$6,"Indicativa",
IF('Dados da OS'!$D$8=Parâmetros!$B$5,"PFS","")))</f>
        <v/>
      </c>
      <c r="M187" s="57">
        <f>IFERROR(VLOOKUP(C187,'Fatores de Impacto e INMs'!$A$3:$D$32,3,0),1)</f>
        <v>1</v>
      </c>
      <c r="N187" s="57">
        <f>IFERROR(VLOOKUP(C187,'Fatores de Impacto e INMs'!$A$3:$E$32,5,0),1)</f>
        <v>1</v>
      </c>
      <c r="O187" s="63" t="str">
        <f xml:space="preserve">
IF(OR('Dados da OS'!$D$8="Selecione o tipo da contagem",ISBLANK('Dados da OS'!$D$8),B187="INM",B187="N/A",ISBLANK(B187),ISBLANK(C187),N187="VF"),"-",
   IF('Dados da OS'!$D$8=Parâmetros!$B$3,
      IF(OR(ISBLANK(D187),ISBLANK(F187)),"-",
         IF(L187="L","Baixa",IF(L187="A","Média",IF(L187="H","Alta","-")))),
      IF('Dados da OS'!$D$8=Parâmetros!$B$4,
         IF(OR(B187="ALI",B187="AIE"),"Baixa",IF(OR(B187="EE",B187="SE",B187="CE"),"Média","-")),
         IF(OR('Dados da OS'!$D$8=Parâmetros!$B$5,'Dados da OS'!$D$8=Parâmetros!$B$6),"-"))))</f>
        <v>-</v>
      </c>
      <c r="P187" s="59" t="str">
        <f xml:space="preserve">
IF(OR(ISBLANK(B187),ISBLANK(C187),B187="N/A",ISBLANK('Dados da OS'!$D$8)),"",
   IF(OR('Dados da OS'!$D$8=Parâmetros!$B$3,'Dados da OS'!$D$8=Parâmetros!$B$4),
      IF(OR(AND(B187="INM",N187&lt;&gt;"VF"),AND(N187="VF",B187&lt;&gt;"INM")),"",
        IF(AND(B187="INM",N187="VF"),IF(ISBLANK(H187),"",M187*H187),
        IF('Dados da OS'!$D$8=Parâmetros!$B$4,
           IF(OR(B187="CE",B187="EE"),4,IF(B187="SE",5,IF(B187="ALI",7,IF(B187="AIE",5,"")))),
        IF('Dados da OS'!$D$8=Parâmetros!$B$3,
           IF(OR(ISBLANK(D187),ISBLANK(F187)),"",
              IF(B187="ALI",IF(L187="L",7,IF(L187="A",10,15)),
                 IF(B187="AIE",IF(L187="L",5,IF(L187="A",7,10)),
                    IF(B187="SE",IF(L187="L",4,IF(L187="A",5,7)),
                       IF(OR(B187="EE",B187="CE"),IF(L187="L",3,IF(L187="A",4,6)),""))))))))),
   IF('Dados da OS'!$D$8=Parâmetros!$B$5,
      IF(OR(AND(B187="INM",N187&lt;&gt;"VF"),AND(N187="VF",B187&lt;&gt;"INM")),"",
         IF(B187="INM",IF(N187="VF",M187*H187,""),
            IF(B187="PE",4.6,
            IF(B187="AL",7,"")))),
   IF('Dados da OS'!$D$8=Parâmetros!$B$6,
      IF(B187="ALI",35,IF(B187="AIE",15,"")),""))
    )
)</f>
        <v/>
      </c>
      <c r="Q187" s="60" t="str">
        <f t="shared" si="19"/>
        <v/>
      </c>
      <c r="R187" s="61"/>
      <c r="S187" s="62"/>
      <c r="T187" s="80" t="s">
        <v>21</v>
      </c>
      <c r="U187" s="81"/>
      <c r="V187" s="99"/>
      <c r="W187" s="55"/>
      <c r="X187" s="55"/>
      <c r="Y187" s="56"/>
      <c r="Z187" s="55"/>
      <c r="AA187" s="56"/>
      <c r="AB187" s="55"/>
      <c r="AC187" s="57" t="str">
        <f t="shared" si="20"/>
        <v/>
      </c>
      <c r="AD187" s="57" t="str">
        <f t="shared" si="21"/>
        <v/>
      </c>
      <c r="AE187" s="57" t="str">
        <f xml:space="preserve">
IF(OR('Dados da OS'!$D$8=Parâmetros!$B$3,'Dados da OS'!$D$8=Parâmetros!$B$4),
  IF(OR(ISBLANK(X187),ISBLANK(Z187)),
     IF(OR(V187="ALI",V187="AIE"),"L",IF(ISBLANK(V187),"","A")),
     IF(V187="EE",IF(Z187&gt;=3,IF(X187&gt;=5,"H","A"),
     IF(Z187&gt;=2,IF(X187&gt;=16,"H",IF(X187&lt;=4,"L","A")),IF(X187&lt;=15,"L","A"))),
     IF(OR(V187="SE",V187="CE"),IF(Z187&gt;=4,IF(X187&gt;=6,"H","A"),IF(Z187&gt;=2,IF(X187&gt;=20,"H",IF(X187&lt;=5,"L","A")),IF(X187&lt;=19,"L","A"))),
     IF(OR(V187="ALI",V187="AIE"),IF(Z187&gt;=6,IF(X187&gt;=20,"H","A"),IF(Z187&gt;=2,IF(X187&gt;=51,"H",IF(X187&lt;=19,"L","A")),IF(X187&lt;=50,"L","A"))))))),
IF('Dados da OS'!$D$8=Parâmetros!$B$6,"Indicativa",
IF('Dados da OS'!$D$8=Parâmetros!$B$5,"PFS","")))</f>
        <v/>
      </c>
      <c r="AF187" s="57">
        <f>IFERROR(VLOOKUP(W187,'Fatores de Impacto e INMs'!$A$3:$D$32,3,0),1)</f>
        <v>1</v>
      </c>
      <c r="AG187" s="57">
        <f>IFERROR(VLOOKUP(W187,'Fatores de Impacto e INMs'!$A$3:$E$32,5,0),1)</f>
        <v>1</v>
      </c>
      <c r="AH187" s="82" t="str">
        <f xml:space="preserve">
IF(OR('Dados da OS'!$D$8="Selecione o tipo da contagem",ISBLANK('Dados da OS'!$D$8),V187="INM",V187="N/A",ISBLANK(V187),ISBLANK(W187),AG187="VF"),"-",
   IF('Dados da OS'!$D$8=Parâmetros!$B$3,
      IF(OR(ISBLANK(X187),ISBLANK(Z187)),"-",
         IF(AE187="L","Baixa",IF(AE187="A","Média",IF(AE187="H","Alta","-")))),
      IF('Dados da OS'!$D$8=Parâmetros!$B$4,
         IF(OR(V187="ALI",V187="AIE"),"Baixa",IF(OR(V187="EE",V187="SE",V187="CE"),"Média","-")),
         IF(OR('Dados da OS'!$D$8=Parâmetros!$B$5,'Dados da OS'!$D$8=Parâmetros!$B$6),"-"))))</f>
        <v>-</v>
      </c>
      <c r="AI187" s="83" t="str">
        <f xml:space="preserve">
IF(OR(ISBLANK(V187),ISBLANK(U187),ISBLANK(W187),V187="N/A",ISBLANK('Dados da OS'!$D$8)),"",
   IF(OR('Dados da OS'!$D$8=Parâmetros!$B$3,'Dados da OS'!$D$8=Parâmetros!$B$4),
      IF(OR(AND(V187="INM",AG187&lt;&gt;"VF"),AND(AG187="VF",V187&lt;&gt;"INM")),"",
        IF(AND(V187="INM",AG187="VF"),IF(ISBLANK(AB187),"",AF187*AB187),
        IF('Dados da OS'!$D$8=Parâmetros!$B$4,
           IF(OR(V187="CE",V187="EE"),4,IF(V187="SE",5,IF(V187="ALI",7,IF(V187="AIE",5,"")))),
        IF('Dados da OS'!$D$8=Parâmetros!$B$3,
           IF(OR(ISBLANK(X187),ISBLANK(Z187)),"",
              IF(V187="ALI",IF(AE187="L",7,IF(AE187="A",10,15)),
                 IF(V187="AIE",IF(AE187="L",5,IF(AE187="A",7,10)),
                    IF(V187="SE",IF(AE187="L",4,IF(AE187="A",5,7)),
                       IF(OR(V187="EE",V187="CE"),IF(AE187="L",3,IF(AE187="A",4,6)),""))))))))),
   IF('Dados da OS'!$D$8=Parâmetros!$B$5,
      IF(OR(AND(V187="INM",AG187&lt;&gt;"VF"),AND(AG187="VF",V187&lt;&gt;"INM")),"",
         IF(V187="INM",IF(AG187="VF",AF187*AB187,""),
            IF(V187="PE",4.6,
            IF(V187="AL",7,"")))),
   IF('Dados da OS'!$D$8=Parâmetros!$B$6,
      IF(V187="ALI",35,IF(V187="AIE",15,"")),""))
    )
)</f>
        <v/>
      </c>
      <c r="AJ187" s="82" t="str">
        <f t="shared" si="22"/>
        <v/>
      </c>
      <c r="AK187" s="84"/>
      <c r="AL187" s="85" t="s">
        <v>21</v>
      </c>
      <c r="AM187" s="86"/>
      <c r="AN187" s="85"/>
      <c r="AO187" s="87"/>
      <c r="AP187" s="85"/>
      <c r="AQ187" s="86"/>
      <c r="AR187" s="85"/>
    </row>
    <row r="188" spans="1:44" ht="15.75" customHeight="1">
      <c r="A188" s="54"/>
      <c r="B188" s="100"/>
      <c r="C188" s="55"/>
      <c r="D188" s="55"/>
      <c r="E188" s="56"/>
      <c r="F188" s="55"/>
      <c r="G188" s="56"/>
      <c r="H188" s="55"/>
      <c r="I188" s="64"/>
      <c r="J188" s="57" t="str">
        <f t="shared" si="23"/>
        <v/>
      </c>
      <c r="K188" s="57" t="str">
        <f t="shared" si="24"/>
        <v/>
      </c>
      <c r="L188" s="57" t="str">
        <f xml:space="preserve">
IF(OR('Dados da OS'!$D$8=Parâmetros!$B$3,'Dados da OS'!$D$8=Parâmetros!$B$4),
  IF(OR(ISBLANK(D188),ISBLANK(F188)),
     IF(OR(B188="ALI",B188="AIE"),"L",IF(ISBLANK(B188),"","A")),
     IF(B188="EE",IF(F188&gt;=3,IF(D188&gt;=5,"H","A"),
     IF(F188&gt;=2,IF(D188&gt;=16,"H",IF(D188&lt;=4,"L","A")),IF(D188&lt;=15,"L","A"))),
     IF(OR(B188="SE",B188="CE"),IF(F188&gt;=4,IF(D188&gt;=6,"H","A"),IF(F188&gt;=2,IF(D188&gt;=20,"H",IF(D188&lt;=5,"L","A")),IF(D188&lt;=19,"L","A"))),
     IF(OR(B188="ALI",B188="AIE"),IF(F188&gt;=6,IF(D188&gt;=20,"H","A"),IF(F188&gt;=2,IF(D188&gt;=51,"H",IF(D188&lt;=19,"L","A")),IF(D188&lt;=50,"L","A"))))))),
IF('Dados da OS'!$D$8=Parâmetros!$B$6,"Indicativa",
IF('Dados da OS'!$D$8=Parâmetros!$B$5,"PFS","")))</f>
        <v/>
      </c>
      <c r="M188" s="57">
        <f>IFERROR(VLOOKUP(C188,'Fatores de Impacto e INMs'!$A$3:$D$32,3,0),1)</f>
        <v>1</v>
      </c>
      <c r="N188" s="57">
        <f>IFERROR(VLOOKUP(C188,'Fatores de Impacto e INMs'!$A$3:$E$32,5,0),1)</f>
        <v>1</v>
      </c>
      <c r="O188" s="63" t="str">
        <f xml:space="preserve">
IF(OR('Dados da OS'!$D$8="Selecione o tipo da contagem",ISBLANK('Dados da OS'!$D$8),B188="INM",B188="N/A",ISBLANK(B188),ISBLANK(C188),N188="VF"),"-",
   IF('Dados da OS'!$D$8=Parâmetros!$B$3,
      IF(OR(ISBLANK(D188),ISBLANK(F188)),"-",
         IF(L188="L","Baixa",IF(L188="A","Média",IF(L188="H","Alta","-")))),
      IF('Dados da OS'!$D$8=Parâmetros!$B$4,
         IF(OR(B188="ALI",B188="AIE"),"Baixa",IF(OR(B188="EE",B188="SE",B188="CE"),"Média","-")),
         IF(OR('Dados da OS'!$D$8=Parâmetros!$B$5,'Dados da OS'!$D$8=Parâmetros!$B$6),"-"))))</f>
        <v>-</v>
      </c>
      <c r="P188" s="59" t="str">
        <f xml:space="preserve">
IF(OR(ISBLANK(B188),ISBLANK(C188),B188="N/A",ISBLANK('Dados da OS'!$D$8)),"",
   IF(OR('Dados da OS'!$D$8=Parâmetros!$B$3,'Dados da OS'!$D$8=Parâmetros!$B$4),
      IF(OR(AND(B188="INM",N188&lt;&gt;"VF"),AND(N188="VF",B188&lt;&gt;"INM")),"",
        IF(AND(B188="INM",N188="VF"),IF(ISBLANK(H188),"",M188*H188),
        IF('Dados da OS'!$D$8=Parâmetros!$B$4,
           IF(OR(B188="CE",B188="EE"),4,IF(B188="SE",5,IF(B188="ALI",7,IF(B188="AIE",5,"")))),
        IF('Dados da OS'!$D$8=Parâmetros!$B$3,
           IF(OR(ISBLANK(D188),ISBLANK(F188)),"",
              IF(B188="ALI",IF(L188="L",7,IF(L188="A",10,15)),
                 IF(B188="AIE",IF(L188="L",5,IF(L188="A",7,10)),
                    IF(B188="SE",IF(L188="L",4,IF(L188="A",5,7)),
                       IF(OR(B188="EE",B188="CE"),IF(L188="L",3,IF(L188="A",4,6)),""))))))))),
   IF('Dados da OS'!$D$8=Parâmetros!$B$5,
      IF(OR(AND(B188="INM",N188&lt;&gt;"VF"),AND(N188="VF",B188&lt;&gt;"INM")),"",
         IF(B188="INM",IF(N188="VF",M188*H188,""),
            IF(B188="PE",4.6,
            IF(B188="AL",7,"")))),
   IF('Dados da OS'!$D$8=Parâmetros!$B$6,
      IF(B188="ALI",35,IF(B188="AIE",15,"")),""))
    )
)</f>
        <v/>
      </c>
      <c r="Q188" s="60" t="str">
        <f t="shared" si="19"/>
        <v/>
      </c>
      <c r="R188" s="61"/>
      <c r="S188" s="62"/>
      <c r="T188" s="80" t="s">
        <v>21</v>
      </c>
      <c r="U188" s="81"/>
      <c r="V188" s="99"/>
      <c r="W188" s="55"/>
      <c r="X188" s="55"/>
      <c r="Y188" s="56"/>
      <c r="Z188" s="55"/>
      <c r="AA188" s="56"/>
      <c r="AB188" s="55"/>
      <c r="AC188" s="57" t="str">
        <f t="shared" si="20"/>
        <v/>
      </c>
      <c r="AD188" s="57" t="str">
        <f t="shared" si="21"/>
        <v/>
      </c>
      <c r="AE188" s="57" t="str">
        <f xml:space="preserve">
IF(OR('Dados da OS'!$D$8=Parâmetros!$B$3,'Dados da OS'!$D$8=Parâmetros!$B$4),
  IF(OR(ISBLANK(X188),ISBLANK(Z188)),
     IF(OR(V188="ALI",V188="AIE"),"L",IF(ISBLANK(V188),"","A")),
     IF(V188="EE",IF(Z188&gt;=3,IF(X188&gt;=5,"H","A"),
     IF(Z188&gt;=2,IF(X188&gt;=16,"H",IF(X188&lt;=4,"L","A")),IF(X188&lt;=15,"L","A"))),
     IF(OR(V188="SE",V188="CE"),IF(Z188&gt;=4,IF(X188&gt;=6,"H","A"),IF(Z188&gt;=2,IF(X188&gt;=20,"H",IF(X188&lt;=5,"L","A")),IF(X188&lt;=19,"L","A"))),
     IF(OR(V188="ALI",V188="AIE"),IF(Z188&gt;=6,IF(X188&gt;=20,"H","A"),IF(Z188&gt;=2,IF(X188&gt;=51,"H",IF(X188&lt;=19,"L","A")),IF(X188&lt;=50,"L","A"))))))),
IF('Dados da OS'!$D$8=Parâmetros!$B$6,"Indicativa",
IF('Dados da OS'!$D$8=Parâmetros!$B$5,"PFS","")))</f>
        <v/>
      </c>
      <c r="AF188" s="57">
        <f>IFERROR(VLOOKUP(W188,'Fatores de Impacto e INMs'!$A$3:$D$32,3,0),1)</f>
        <v>1</v>
      </c>
      <c r="AG188" s="57">
        <f>IFERROR(VLOOKUP(W188,'Fatores de Impacto e INMs'!$A$3:$E$32,5,0),1)</f>
        <v>1</v>
      </c>
      <c r="AH188" s="82" t="str">
        <f xml:space="preserve">
IF(OR('Dados da OS'!$D$8="Selecione o tipo da contagem",ISBLANK('Dados da OS'!$D$8),V188="INM",V188="N/A",ISBLANK(V188),ISBLANK(W188),AG188="VF"),"-",
   IF('Dados da OS'!$D$8=Parâmetros!$B$3,
      IF(OR(ISBLANK(X188),ISBLANK(Z188)),"-",
         IF(AE188="L","Baixa",IF(AE188="A","Média",IF(AE188="H","Alta","-")))),
      IF('Dados da OS'!$D$8=Parâmetros!$B$4,
         IF(OR(V188="ALI",V188="AIE"),"Baixa",IF(OR(V188="EE",V188="SE",V188="CE"),"Média","-")),
         IF(OR('Dados da OS'!$D$8=Parâmetros!$B$5,'Dados da OS'!$D$8=Parâmetros!$B$6),"-"))))</f>
        <v>-</v>
      </c>
      <c r="AI188" s="83" t="str">
        <f xml:space="preserve">
IF(OR(ISBLANK(V188),ISBLANK(U188),ISBLANK(W188),V188="N/A",ISBLANK('Dados da OS'!$D$8)),"",
   IF(OR('Dados da OS'!$D$8=Parâmetros!$B$3,'Dados da OS'!$D$8=Parâmetros!$B$4),
      IF(OR(AND(V188="INM",AG188&lt;&gt;"VF"),AND(AG188="VF",V188&lt;&gt;"INM")),"",
        IF(AND(V188="INM",AG188="VF"),IF(ISBLANK(AB188),"",AF188*AB188),
        IF('Dados da OS'!$D$8=Parâmetros!$B$4,
           IF(OR(V188="CE",V188="EE"),4,IF(V188="SE",5,IF(V188="ALI",7,IF(V188="AIE",5,"")))),
        IF('Dados da OS'!$D$8=Parâmetros!$B$3,
           IF(OR(ISBLANK(X188),ISBLANK(Z188)),"",
              IF(V188="ALI",IF(AE188="L",7,IF(AE188="A",10,15)),
                 IF(V188="AIE",IF(AE188="L",5,IF(AE188="A",7,10)),
                    IF(V188="SE",IF(AE188="L",4,IF(AE188="A",5,7)),
                       IF(OR(V188="EE",V188="CE"),IF(AE188="L",3,IF(AE188="A",4,6)),""))))))))),
   IF('Dados da OS'!$D$8=Parâmetros!$B$5,
      IF(OR(AND(V188="INM",AG188&lt;&gt;"VF"),AND(AG188="VF",V188&lt;&gt;"INM")),"",
         IF(V188="INM",IF(AG188="VF",AF188*AB188,""),
            IF(V188="PE",4.6,
            IF(V188="AL",7,"")))),
   IF('Dados da OS'!$D$8=Parâmetros!$B$6,
      IF(V188="ALI",35,IF(V188="AIE",15,"")),""))
    )
)</f>
        <v/>
      </c>
      <c r="AJ188" s="82" t="str">
        <f t="shared" si="22"/>
        <v/>
      </c>
      <c r="AK188" s="84"/>
      <c r="AL188" s="85" t="s">
        <v>21</v>
      </c>
      <c r="AM188" s="86"/>
      <c r="AN188" s="85"/>
      <c r="AO188" s="87"/>
      <c r="AP188" s="85"/>
      <c r="AQ188" s="86"/>
      <c r="AR188" s="85"/>
    </row>
    <row r="189" spans="1:44" ht="15.75" customHeight="1">
      <c r="A189" s="54"/>
      <c r="B189" s="100"/>
      <c r="C189" s="55"/>
      <c r="D189" s="55"/>
      <c r="E189" s="56"/>
      <c r="F189" s="55"/>
      <c r="G189" s="56"/>
      <c r="H189" s="55"/>
      <c r="I189" s="64"/>
      <c r="J189" s="57" t="str">
        <f t="shared" si="23"/>
        <v/>
      </c>
      <c r="K189" s="57" t="str">
        <f t="shared" si="24"/>
        <v/>
      </c>
      <c r="L189" s="57" t="str">
        <f xml:space="preserve">
IF(OR('Dados da OS'!$D$8=Parâmetros!$B$3,'Dados da OS'!$D$8=Parâmetros!$B$4),
  IF(OR(ISBLANK(D189),ISBLANK(F189)),
     IF(OR(B189="ALI",B189="AIE"),"L",IF(ISBLANK(B189),"","A")),
     IF(B189="EE",IF(F189&gt;=3,IF(D189&gt;=5,"H","A"),
     IF(F189&gt;=2,IF(D189&gt;=16,"H",IF(D189&lt;=4,"L","A")),IF(D189&lt;=15,"L","A"))),
     IF(OR(B189="SE",B189="CE"),IF(F189&gt;=4,IF(D189&gt;=6,"H","A"),IF(F189&gt;=2,IF(D189&gt;=20,"H",IF(D189&lt;=5,"L","A")),IF(D189&lt;=19,"L","A"))),
     IF(OR(B189="ALI",B189="AIE"),IF(F189&gt;=6,IF(D189&gt;=20,"H","A"),IF(F189&gt;=2,IF(D189&gt;=51,"H",IF(D189&lt;=19,"L","A")),IF(D189&lt;=50,"L","A"))))))),
IF('Dados da OS'!$D$8=Parâmetros!$B$6,"Indicativa",
IF('Dados da OS'!$D$8=Parâmetros!$B$5,"PFS","")))</f>
        <v/>
      </c>
      <c r="M189" s="57">
        <f>IFERROR(VLOOKUP(C189,'Fatores de Impacto e INMs'!$A$3:$D$32,3,0),1)</f>
        <v>1</v>
      </c>
      <c r="N189" s="57">
        <f>IFERROR(VLOOKUP(C189,'Fatores de Impacto e INMs'!$A$3:$E$32,5,0),1)</f>
        <v>1</v>
      </c>
      <c r="O189" s="63" t="str">
        <f xml:space="preserve">
IF(OR('Dados da OS'!$D$8="Selecione o tipo da contagem",ISBLANK('Dados da OS'!$D$8),B189="INM",B189="N/A",ISBLANK(B189),ISBLANK(C189),N189="VF"),"-",
   IF('Dados da OS'!$D$8=Parâmetros!$B$3,
      IF(OR(ISBLANK(D189),ISBLANK(F189)),"-",
         IF(L189="L","Baixa",IF(L189="A","Média",IF(L189="H","Alta","-")))),
      IF('Dados da OS'!$D$8=Parâmetros!$B$4,
         IF(OR(B189="ALI",B189="AIE"),"Baixa",IF(OR(B189="EE",B189="SE",B189="CE"),"Média","-")),
         IF(OR('Dados da OS'!$D$8=Parâmetros!$B$5,'Dados da OS'!$D$8=Parâmetros!$B$6),"-"))))</f>
        <v>-</v>
      </c>
      <c r="P189" s="59" t="str">
        <f xml:space="preserve">
IF(OR(ISBLANK(B189),ISBLANK(C189),B189="N/A",ISBLANK('Dados da OS'!$D$8)),"",
   IF(OR('Dados da OS'!$D$8=Parâmetros!$B$3,'Dados da OS'!$D$8=Parâmetros!$B$4),
      IF(OR(AND(B189="INM",N189&lt;&gt;"VF"),AND(N189="VF",B189&lt;&gt;"INM")),"",
        IF(AND(B189="INM",N189="VF"),IF(ISBLANK(H189),"",M189*H189),
        IF('Dados da OS'!$D$8=Parâmetros!$B$4,
           IF(OR(B189="CE",B189="EE"),4,IF(B189="SE",5,IF(B189="ALI",7,IF(B189="AIE",5,"")))),
        IF('Dados da OS'!$D$8=Parâmetros!$B$3,
           IF(OR(ISBLANK(D189),ISBLANK(F189)),"",
              IF(B189="ALI",IF(L189="L",7,IF(L189="A",10,15)),
                 IF(B189="AIE",IF(L189="L",5,IF(L189="A",7,10)),
                    IF(B189="SE",IF(L189="L",4,IF(L189="A",5,7)),
                       IF(OR(B189="EE",B189="CE"),IF(L189="L",3,IF(L189="A",4,6)),""))))))))),
   IF('Dados da OS'!$D$8=Parâmetros!$B$5,
      IF(OR(AND(B189="INM",N189&lt;&gt;"VF"),AND(N189="VF",B189&lt;&gt;"INM")),"",
         IF(B189="INM",IF(N189="VF",M189*H189,""),
            IF(B189="PE",4.6,
            IF(B189="AL",7,"")))),
   IF('Dados da OS'!$D$8=Parâmetros!$B$6,
      IF(B189="ALI",35,IF(B189="AIE",15,"")),""))
    )
)</f>
        <v/>
      </c>
      <c r="Q189" s="60" t="str">
        <f t="shared" si="19"/>
        <v/>
      </c>
      <c r="R189" s="61"/>
      <c r="S189" s="62"/>
      <c r="T189" s="80" t="s">
        <v>21</v>
      </c>
      <c r="U189" s="81"/>
      <c r="V189" s="99"/>
      <c r="W189" s="55"/>
      <c r="X189" s="55"/>
      <c r="Y189" s="56"/>
      <c r="Z189" s="55"/>
      <c r="AA189" s="56"/>
      <c r="AB189" s="55"/>
      <c r="AC189" s="57" t="str">
        <f t="shared" si="20"/>
        <v/>
      </c>
      <c r="AD189" s="57" t="str">
        <f t="shared" si="21"/>
        <v/>
      </c>
      <c r="AE189" s="57" t="str">
        <f xml:space="preserve">
IF(OR('Dados da OS'!$D$8=Parâmetros!$B$3,'Dados da OS'!$D$8=Parâmetros!$B$4),
  IF(OR(ISBLANK(X189),ISBLANK(Z189)),
     IF(OR(V189="ALI",V189="AIE"),"L",IF(ISBLANK(V189),"","A")),
     IF(V189="EE",IF(Z189&gt;=3,IF(X189&gt;=5,"H","A"),
     IF(Z189&gt;=2,IF(X189&gt;=16,"H",IF(X189&lt;=4,"L","A")),IF(X189&lt;=15,"L","A"))),
     IF(OR(V189="SE",V189="CE"),IF(Z189&gt;=4,IF(X189&gt;=6,"H","A"),IF(Z189&gt;=2,IF(X189&gt;=20,"H",IF(X189&lt;=5,"L","A")),IF(X189&lt;=19,"L","A"))),
     IF(OR(V189="ALI",V189="AIE"),IF(Z189&gt;=6,IF(X189&gt;=20,"H","A"),IF(Z189&gt;=2,IF(X189&gt;=51,"H",IF(X189&lt;=19,"L","A")),IF(X189&lt;=50,"L","A"))))))),
IF('Dados da OS'!$D$8=Parâmetros!$B$6,"Indicativa",
IF('Dados da OS'!$D$8=Parâmetros!$B$5,"PFS","")))</f>
        <v/>
      </c>
      <c r="AF189" s="57">
        <f>IFERROR(VLOOKUP(W189,'Fatores de Impacto e INMs'!$A$3:$D$32,3,0),1)</f>
        <v>1</v>
      </c>
      <c r="AG189" s="57">
        <f>IFERROR(VLOOKUP(W189,'Fatores de Impacto e INMs'!$A$3:$E$32,5,0),1)</f>
        <v>1</v>
      </c>
      <c r="AH189" s="82" t="str">
        <f xml:space="preserve">
IF(OR('Dados da OS'!$D$8="Selecione o tipo da contagem",ISBLANK('Dados da OS'!$D$8),V189="INM",V189="N/A",ISBLANK(V189),ISBLANK(W189),AG189="VF"),"-",
   IF('Dados da OS'!$D$8=Parâmetros!$B$3,
      IF(OR(ISBLANK(X189),ISBLANK(Z189)),"-",
         IF(AE189="L","Baixa",IF(AE189="A","Média",IF(AE189="H","Alta","-")))),
      IF('Dados da OS'!$D$8=Parâmetros!$B$4,
         IF(OR(V189="ALI",V189="AIE"),"Baixa",IF(OR(V189="EE",V189="SE",V189="CE"),"Média","-")),
         IF(OR('Dados da OS'!$D$8=Parâmetros!$B$5,'Dados da OS'!$D$8=Parâmetros!$B$6),"-"))))</f>
        <v>-</v>
      </c>
      <c r="AI189" s="83" t="str">
        <f xml:space="preserve">
IF(OR(ISBLANK(V189),ISBLANK(U189),ISBLANK(W189),V189="N/A",ISBLANK('Dados da OS'!$D$8)),"",
   IF(OR('Dados da OS'!$D$8=Parâmetros!$B$3,'Dados da OS'!$D$8=Parâmetros!$B$4),
      IF(OR(AND(V189="INM",AG189&lt;&gt;"VF"),AND(AG189="VF",V189&lt;&gt;"INM")),"",
        IF(AND(V189="INM",AG189="VF"),IF(ISBLANK(AB189),"",AF189*AB189),
        IF('Dados da OS'!$D$8=Parâmetros!$B$4,
           IF(OR(V189="CE",V189="EE"),4,IF(V189="SE",5,IF(V189="ALI",7,IF(V189="AIE",5,"")))),
        IF('Dados da OS'!$D$8=Parâmetros!$B$3,
           IF(OR(ISBLANK(X189),ISBLANK(Z189)),"",
              IF(V189="ALI",IF(AE189="L",7,IF(AE189="A",10,15)),
                 IF(V189="AIE",IF(AE189="L",5,IF(AE189="A",7,10)),
                    IF(V189="SE",IF(AE189="L",4,IF(AE189="A",5,7)),
                       IF(OR(V189="EE",V189="CE"),IF(AE189="L",3,IF(AE189="A",4,6)),""))))))))),
   IF('Dados da OS'!$D$8=Parâmetros!$B$5,
      IF(OR(AND(V189="INM",AG189&lt;&gt;"VF"),AND(AG189="VF",V189&lt;&gt;"INM")),"",
         IF(V189="INM",IF(AG189="VF",AF189*AB189,""),
            IF(V189="PE",4.6,
            IF(V189="AL",7,"")))),
   IF('Dados da OS'!$D$8=Parâmetros!$B$6,
      IF(V189="ALI",35,IF(V189="AIE",15,"")),""))
    )
)</f>
        <v/>
      </c>
      <c r="AJ189" s="82" t="str">
        <f t="shared" si="22"/>
        <v/>
      </c>
      <c r="AK189" s="84"/>
      <c r="AL189" s="85" t="s">
        <v>21</v>
      </c>
      <c r="AM189" s="86"/>
      <c r="AN189" s="85"/>
      <c r="AO189" s="87"/>
      <c r="AP189" s="85"/>
      <c r="AQ189" s="86"/>
      <c r="AR189" s="85"/>
    </row>
    <row r="190" spans="1:44" ht="15.75" customHeight="1">
      <c r="A190" s="54"/>
      <c r="B190" s="100"/>
      <c r="C190" s="55"/>
      <c r="D190" s="55"/>
      <c r="E190" s="56"/>
      <c r="F190" s="55"/>
      <c r="G190" s="56"/>
      <c r="H190" s="55"/>
      <c r="I190" s="64"/>
      <c r="J190" s="57" t="str">
        <f t="shared" si="23"/>
        <v/>
      </c>
      <c r="K190" s="57" t="str">
        <f t="shared" si="24"/>
        <v/>
      </c>
      <c r="L190" s="57" t="str">
        <f xml:space="preserve">
IF(OR('Dados da OS'!$D$8=Parâmetros!$B$3,'Dados da OS'!$D$8=Parâmetros!$B$4),
  IF(OR(ISBLANK(D190),ISBLANK(F190)),
     IF(OR(B190="ALI",B190="AIE"),"L",IF(ISBLANK(B190),"","A")),
     IF(B190="EE",IF(F190&gt;=3,IF(D190&gt;=5,"H","A"),
     IF(F190&gt;=2,IF(D190&gt;=16,"H",IF(D190&lt;=4,"L","A")),IF(D190&lt;=15,"L","A"))),
     IF(OR(B190="SE",B190="CE"),IF(F190&gt;=4,IF(D190&gt;=6,"H","A"),IF(F190&gt;=2,IF(D190&gt;=20,"H",IF(D190&lt;=5,"L","A")),IF(D190&lt;=19,"L","A"))),
     IF(OR(B190="ALI",B190="AIE"),IF(F190&gt;=6,IF(D190&gt;=20,"H","A"),IF(F190&gt;=2,IF(D190&gt;=51,"H",IF(D190&lt;=19,"L","A")),IF(D190&lt;=50,"L","A"))))))),
IF('Dados da OS'!$D$8=Parâmetros!$B$6,"Indicativa",
IF('Dados da OS'!$D$8=Parâmetros!$B$5,"PFS","")))</f>
        <v/>
      </c>
      <c r="M190" s="57">
        <f>IFERROR(VLOOKUP(C190,'Fatores de Impacto e INMs'!$A$3:$D$32,3,0),1)</f>
        <v>1</v>
      </c>
      <c r="N190" s="57">
        <f>IFERROR(VLOOKUP(C190,'Fatores de Impacto e INMs'!$A$3:$E$32,5,0),1)</f>
        <v>1</v>
      </c>
      <c r="O190" s="63" t="str">
        <f xml:space="preserve">
IF(OR('Dados da OS'!$D$8="Selecione o tipo da contagem",ISBLANK('Dados da OS'!$D$8),B190="INM",B190="N/A",ISBLANK(B190),ISBLANK(C190),N190="VF"),"-",
   IF('Dados da OS'!$D$8=Parâmetros!$B$3,
      IF(OR(ISBLANK(D190),ISBLANK(F190)),"-",
         IF(L190="L","Baixa",IF(L190="A","Média",IF(L190="H","Alta","-")))),
      IF('Dados da OS'!$D$8=Parâmetros!$B$4,
         IF(OR(B190="ALI",B190="AIE"),"Baixa",IF(OR(B190="EE",B190="SE",B190="CE"),"Média","-")),
         IF(OR('Dados da OS'!$D$8=Parâmetros!$B$5,'Dados da OS'!$D$8=Parâmetros!$B$6),"-"))))</f>
        <v>-</v>
      </c>
      <c r="P190" s="59" t="str">
        <f xml:space="preserve">
IF(OR(ISBLANK(B190),ISBLANK(C190),B190="N/A",ISBLANK('Dados da OS'!$D$8)),"",
   IF(OR('Dados da OS'!$D$8=Parâmetros!$B$3,'Dados da OS'!$D$8=Parâmetros!$B$4),
      IF(OR(AND(B190="INM",N190&lt;&gt;"VF"),AND(N190="VF",B190&lt;&gt;"INM")),"",
        IF(AND(B190="INM",N190="VF"),IF(ISBLANK(H190),"",M190*H190),
        IF('Dados da OS'!$D$8=Parâmetros!$B$4,
           IF(OR(B190="CE",B190="EE"),4,IF(B190="SE",5,IF(B190="ALI",7,IF(B190="AIE",5,"")))),
        IF('Dados da OS'!$D$8=Parâmetros!$B$3,
           IF(OR(ISBLANK(D190),ISBLANK(F190)),"",
              IF(B190="ALI",IF(L190="L",7,IF(L190="A",10,15)),
                 IF(B190="AIE",IF(L190="L",5,IF(L190="A",7,10)),
                    IF(B190="SE",IF(L190="L",4,IF(L190="A",5,7)),
                       IF(OR(B190="EE",B190="CE"),IF(L190="L",3,IF(L190="A",4,6)),""))))))))),
   IF('Dados da OS'!$D$8=Parâmetros!$B$5,
      IF(OR(AND(B190="INM",N190&lt;&gt;"VF"),AND(N190="VF",B190&lt;&gt;"INM")),"",
         IF(B190="INM",IF(N190="VF",M190*H190,""),
            IF(B190="PE",4.6,
            IF(B190="AL",7,"")))),
   IF('Dados da OS'!$D$8=Parâmetros!$B$6,
      IF(B190="ALI",35,IF(B190="AIE",15,"")),""))
    )
)</f>
        <v/>
      </c>
      <c r="Q190" s="60" t="str">
        <f t="shared" si="19"/>
        <v/>
      </c>
      <c r="R190" s="61"/>
      <c r="S190" s="62"/>
      <c r="T190" s="80" t="s">
        <v>21</v>
      </c>
      <c r="U190" s="81"/>
      <c r="V190" s="99"/>
      <c r="W190" s="55"/>
      <c r="X190" s="55"/>
      <c r="Y190" s="56"/>
      <c r="Z190" s="55"/>
      <c r="AA190" s="56"/>
      <c r="AB190" s="55"/>
      <c r="AC190" s="57" t="str">
        <f t="shared" si="20"/>
        <v/>
      </c>
      <c r="AD190" s="57" t="str">
        <f t="shared" si="21"/>
        <v/>
      </c>
      <c r="AE190" s="57" t="str">
        <f xml:space="preserve">
IF(OR('Dados da OS'!$D$8=Parâmetros!$B$3,'Dados da OS'!$D$8=Parâmetros!$B$4),
  IF(OR(ISBLANK(X190),ISBLANK(Z190)),
     IF(OR(V190="ALI",V190="AIE"),"L",IF(ISBLANK(V190),"","A")),
     IF(V190="EE",IF(Z190&gt;=3,IF(X190&gt;=5,"H","A"),
     IF(Z190&gt;=2,IF(X190&gt;=16,"H",IF(X190&lt;=4,"L","A")),IF(X190&lt;=15,"L","A"))),
     IF(OR(V190="SE",V190="CE"),IF(Z190&gt;=4,IF(X190&gt;=6,"H","A"),IF(Z190&gt;=2,IF(X190&gt;=20,"H",IF(X190&lt;=5,"L","A")),IF(X190&lt;=19,"L","A"))),
     IF(OR(V190="ALI",V190="AIE"),IF(Z190&gt;=6,IF(X190&gt;=20,"H","A"),IF(Z190&gt;=2,IF(X190&gt;=51,"H",IF(X190&lt;=19,"L","A")),IF(X190&lt;=50,"L","A"))))))),
IF('Dados da OS'!$D$8=Parâmetros!$B$6,"Indicativa",
IF('Dados da OS'!$D$8=Parâmetros!$B$5,"PFS","")))</f>
        <v/>
      </c>
      <c r="AF190" s="57">
        <f>IFERROR(VLOOKUP(W190,'Fatores de Impacto e INMs'!$A$3:$D$32,3,0),1)</f>
        <v>1</v>
      </c>
      <c r="AG190" s="57">
        <f>IFERROR(VLOOKUP(W190,'Fatores de Impacto e INMs'!$A$3:$E$32,5,0),1)</f>
        <v>1</v>
      </c>
      <c r="AH190" s="82" t="str">
        <f xml:space="preserve">
IF(OR('Dados da OS'!$D$8="Selecione o tipo da contagem",ISBLANK('Dados da OS'!$D$8),V190="INM",V190="N/A",ISBLANK(V190),ISBLANK(W190),AG190="VF"),"-",
   IF('Dados da OS'!$D$8=Parâmetros!$B$3,
      IF(OR(ISBLANK(X190),ISBLANK(Z190)),"-",
         IF(AE190="L","Baixa",IF(AE190="A","Média",IF(AE190="H","Alta","-")))),
      IF('Dados da OS'!$D$8=Parâmetros!$B$4,
         IF(OR(V190="ALI",V190="AIE"),"Baixa",IF(OR(V190="EE",V190="SE",V190="CE"),"Média","-")),
         IF(OR('Dados da OS'!$D$8=Parâmetros!$B$5,'Dados da OS'!$D$8=Parâmetros!$B$6),"-"))))</f>
        <v>-</v>
      </c>
      <c r="AI190" s="83" t="str">
        <f xml:space="preserve">
IF(OR(ISBLANK(V190),ISBLANK(U190),ISBLANK(W190),V190="N/A",ISBLANK('Dados da OS'!$D$8)),"",
   IF(OR('Dados da OS'!$D$8=Parâmetros!$B$3,'Dados da OS'!$D$8=Parâmetros!$B$4),
      IF(OR(AND(V190="INM",AG190&lt;&gt;"VF"),AND(AG190="VF",V190&lt;&gt;"INM")),"",
        IF(AND(V190="INM",AG190="VF"),IF(ISBLANK(AB190),"",AF190*AB190),
        IF('Dados da OS'!$D$8=Parâmetros!$B$4,
           IF(OR(V190="CE",V190="EE"),4,IF(V190="SE",5,IF(V190="ALI",7,IF(V190="AIE",5,"")))),
        IF('Dados da OS'!$D$8=Parâmetros!$B$3,
           IF(OR(ISBLANK(X190),ISBLANK(Z190)),"",
              IF(V190="ALI",IF(AE190="L",7,IF(AE190="A",10,15)),
                 IF(V190="AIE",IF(AE190="L",5,IF(AE190="A",7,10)),
                    IF(V190="SE",IF(AE190="L",4,IF(AE190="A",5,7)),
                       IF(OR(V190="EE",V190="CE"),IF(AE190="L",3,IF(AE190="A",4,6)),""))))))))),
   IF('Dados da OS'!$D$8=Parâmetros!$B$5,
      IF(OR(AND(V190="INM",AG190&lt;&gt;"VF"),AND(AG190="VF",V190&lt;&gt;"INM")),"",
         IF(V190="INM",IF(AG190="VF",AF190*AB190,""),
            IF(V190="PE",4.6,
            IF(V190="AL",7,"")))),
   IF('Dados da OS'!$D$8=Parâmetros!$B$6,
      IF(V190="ALI",35,IF(V190="AIE",15,"")),""))
    )
)</f>
        <v/>
      </c>
      <c r="AJ190" s="82" t="str">
        <f t="shared" si="22"/>
        <v/>
      </c>
      <c r="AK190" s="84"/>
      <c r="AL190" s="85" t="s">
        <v>21</v>
      </c>
      <c r="AM190" s="86"/>
      <c r="AN190" s="85"/>
      <c r="AO190" s="87"/>
      <c r="AP190" s="85"/>
      <c r="AQ190" s="86"/>
      <c r="AR190" s="85"/>
    </row>
    <row r="191" spans="1:44" ht="15.75" customHeight="1">
      <c r="A191" s="54"/>
      <c r="B191" s="100"/>
      <c r="C191" s="55"/>
      <c r="D191" s="55"/>
      <c r="E191" s="56"/>
      <c r="F191" s="55"/>
      <c r="G191" s="56"/>
      <c r="H191" s="55"/>
      <c r="I191" s="64"/>
      <c r="J191" s="57" t="str">
        <f t="shared" si="23"/>
        <v/>
      </c>
      <c r="K191" s="57" t="str">
        <f t="shared" si="24"/>
        <v/>
      </c>
      <c r="L191" s="57" t="str">
        <f xml:space="preserve">
IF(OR('Dados da OS'!$D$8=Parâmetros!$B$3,'Dados da OS'!$D$8=Parâmetros!$B$4),
  IF(OR(ISBLANK(D191),ISBLANK(F191)),
     IF(OR(B191="ALI",B191="AIE"),"L",IF(ISBLANK(B191),"","A")),
     IF(B191="EE",IF(F191&gt;=3,IF(D191&gt;=5,"H","A"),
     IF(F191&gt;=2,IF(D191&gt;=16,"H",IF(D191&lt;=4,"L","A")),IF(D191&lt;=15,"L","A"))),
     IF(OR(B191="SE",B191="CE"),IF(F191&gt;=4,IF(D191&gt;=6,"H","A"),IF(F191&gt;=2,IF(D191&gt;=20,"H",IF(D191&lt;=5,"L","A")),IF(D191&lt;=19,"L","A"))),
     IF(OR(B191="ALI",B191="AIE"),IF(F191&gt;=6,IF(D191&gt;=20,"H","A"),IF(F191&gt;=2,IF(D191&gt;=51,"H",IF(D191&lt;=19,"L","A")),IF(D191&lt;=50,"L","A"))))))),
IF('Dados da OS'!$D$8=Parâmetros!$B$6,"Indicativa",
IF('Dados da OS'!$D$8=Parâmetros!$B$5,"PFS","")))</f>
        <v/>
      </c>
      <c r="M191" s="57">
        <f>IFERROR(VLOOKUP(C191,'Fatores de Impacto e INMs'!$A$3:$D$32,3,0),1)</f>
        <v>1</v>
      </c>
      <c r="N191" s="57">
        <f>IFERROR(VLOOKUP(C191,'Fatores de Impacto e INMs'!$A$3:$E$32,5,0),1)</f>
        <v>1</v>
      </c>
      <c r="O191" s="63" t="str">
        <f xml:space="preserve">
IF(OR('Dados da OS'!$D$8="Selecione o tipo da contagem",ISBLANK('Dados da OS'!$D$8),B191="INM",B191="N/A",ISBLANK(B191),ISBLANK(C191),N191="VF"),"-",
   IF('Dados da OS'!$D$8=Parâmetros!$B$3,
      IF(OR(ISBLANK(D191),ISBLANK(F191)),"-",
         IF(L191="L","Baixa",IF(L191="A","Média",IF(L191="H","Alta","-")))),
      IF('Dados da OS'!$D$8=Parâmetros!$B$4,
         IF(OR(B191="ALI",B191="AIE"),"Baixa",IF(OR(B191="EE",B191="SE",B191="CE"),"Média","-")),
         IF(OR('Dados da OS'!$D$8=Parâmetros!$B$5,'Dados da OS'!$D$8=Parâmetros!$B$6),"-"))))</f>
        <v>-</v>
      </c>
      <c r="P191" s="59" t="str">
        <f xml:space="preserve">
IF(OR(ISBLANK(B191),ISBLANK(C191),B191="N/A",ISBLANK('Dados da OS'!$D$8)),"",
   IF(OR('Dados da OS'!$D$8=Parâmetros!$B$3,'Dados da OS'!$D$8=Parâmetros!$B$4),
      IF(OR(AND(B191="INM",N191&lt;&gt;"VF"),AND(N191="VF",B191&lt;&gt;"INM")),"",
        IF(AND(B191="INM",N191="VF"),IF(ISBLANK(H191),"",M191*H191),
        IF('Dados da OS'!$D$8=Parâmetros!$B$4,
           IF(OR(B191="CE",B191="EE"),4,IF(B191="SE",5,IF(B191="ALI",7,IF(B191="AIE",5,"")))),
        IF('Dados da OS'!$D$8=Parâmetros!$B$3,
           IF(OR(ISBLANK(D191),ISBLANK(F191)),"",
              IF(B191="ALI",IF(L191="L",7,IF(L191="A",10,15)),
                 IF(B191="AIE",IF(L191="L",5,IF(L191="A",7,10)),
                    IF(B191="SE",IF(L191="L",4,IF(L191="A",5,7)),
                       IF(OR(B191="EE",B191="CE"),IF(L191="L",3,IF(L191="A",4,6)),""))))))))),
   IF('Dados da OS'!$D$8=Parâmetros!$B$5,
      IF(OR(AND(B191="INM",N191&lt;&gt;"VF"),AND(N191="VF",B191&lt;&gt;"INM")),"",
         IF(B191="INM",IF(N191="VF",M191*H191,""),
            IF(B191="PE",4.6,
            IF(B191="AL",7,"")))),
   IF('Dados da OS'!$D$8=Parâmetros!$B$6,
      IF(B191="ALI",35,IF(B191="AIE",15,"")),""))
    )
)</f>
        <v/>
      </c>
      <c r="Q191" s="60" t="str">
        <f t="shared" si="19"/>
        <v/>
      </c>
      <c r="R191" s="61"/>
      <c r="S191" s="62"/>
      <c r="T191" s="80" t="s">
        <v>21</v>
      </c>
      <c r="U191" s="81"/>
      <c r="V191" s="99"/>
      <c r="W191" s="55"/>
      <c r="X191" s="55"/>
      <c r="Y191" s="56"/>
      <c r="Z191" s="55"/>
      <c r="AA191" s="56"/>
      <c r="AB191" s="55"/>
      <c r="AC191" s="57" t="str">
        <f t="shared" si="20"/>
        <v/>
      </c>
      <c r="AD191" s="57" t="str">
        <f t="shared" si="21"/>
        <v/>
      </c>
      <c r="AE191" s="57" t="str">
        <f xml:space="preserve">
IF(OR('Dados da OS'!$D$8=Parâmetros!$B$3,'Dados da OS'!$D$8=Parâmetros!$B$4),
  IF(OR(ISBLANK(X191),ISBLANK(Z191)),
     IF(OR(V191="ALI",V191="AIE"),"L",IF(ISBLANK(V191),"","A")),
     IF(V191="EE",IF(Z191&gt;=3,IF(X191&gt;=5,"H","A"),
     IF(Z191&gt;=2,IF(X191&gt;=16,"H",IF(X191&lt;=4,"L","A")),IF(X191&lt;=15,"L","A"))),
     IF(OR(V191="SE",V191="CE"),IF(Z191&gt;=4,IF(X191&gt;=6,"H","A"),IF(Z191&gt;=2,IF(X191&gt;=20,"H",IF(X191&lt;=5,"L","A")),IF(X191&lt;=19,"L","A"))),
     IF(OR(V191="ALI",V191="AIE"),IF(Z191&gt;=6,IF(X191&gt;=20,"H","A"),IF(Z191&gt;=2,IF(X191&gt;=51,"H",IF(X191&lt;=19,"L","A")),IF(X191&lt;=50,"L","A"))))))),
IF('Dados da OS'!$D$8=Parâmetros!$B$6,"Indicativa",
IF('Dados da OS'!$D$8=Parâmetros!$B$5,"PFS","")))</f>
        <v/>
      </c>
      <c r="AF191" s="57">
        <f>IFERROR(VLOOKUP(W191,'Fatores de Impacto e INMs'!$A$3:$D$32,3,0),1)</f>
        <v>1</v>
      </c>
      <c r="AG191" s="57">
        <f>IFERROR(VLOOKUP(W191,'Fatores de Impacto e INMs'!$A$3:$E$32,5,0),1)</f>
        <v>1</v>
      </c>
      <c r="AH191" s="82" t="str">
        <f xml:space="preserve">
IF(OR('Dados da OS'!$D$8="Selecione o tipo da contagem",ISBLANK('Dados da OS'!$D$8),V191="INM",V191="N/A",ISBLANK(V191),ISBLANK(W191),AG191="VF"),"-",
   IF('Dados da OS'!$D$8=Parâmetros!$B$3,
      IF(OR(ISBLANK(X191),ISBLANK(Z191)),"-",
         IF(AE191="L","Baixa",IF(AE191="A","Média",IF(AE191="H","Alta","-")))),
      IF('Dados da OS'!$D$8=Parâmetros!$B$4,
         IF(OR(V191="ALI",V191="AIE"),"Baixa",IF(OR(V191="EE",V191="SE",V191="CE"),"Média","-")),
         IF(OR('Dados da OS'!$D$8=Parâmetros!$B$5,'Dados da OS'!$D$8=Parâmetros!$B$6),"-"))))</f>
        <v>-</v>
      </c>
      <c r="AI191" s="83" t="str">
        <f xml:space="preserve">
IF(OR(ISBLANK(V191),ISBLANK(U191),ISBLANK(W191),V191="N/A",ISBLANK('Dados da OS'!$D$8)),"",
   IF(OR('Dados da OS'!$D$8=Parâmetros!$B$3,'Dados da OS'!$D$8=Parâmetros!$B$4),
      IF(OR(AND(V191="INM",AG191&lt;&gt;"VF"),AND(AG191="VF",V191&lt;&gt;"INM")),"",
        IF(AND(V191="INM",AG191="VF"),IF(ISBLANK(AB191),"",AF191*AB191),
        IF('Dados da OS'!$D$8=Parâmetros!$B$4,
           IF(OR(V191="CE",V191="EE"),4,IF(V191="SE",5,IF(V191="ALI",7,IF(V191="AIE",5,"")))),
        IF('Dados da OS'!$D$8=Parâmetros!$B$3,
           IF(OR(ISBLANK(X191),ISBLANK(Z191)),"",
              IF(V191="ALI",IF(AE191="L",7,IF(AE191="A",10,15)),
                 IF(V191="AIE",IF(AE191="L",5,IF(AE191="A",7,10)),
                    IF(V191="SE",IF(AE191="L",4,IF(AE191="A",5,7)),
                       IF(OR(V191="EE",V191="CE"),IF(AE191="L",3,IF(AE191="A",4,6)),""))))))))),
   IF('Dados da OS'!$D$8=Parâmetros!$B$5,
      IF(OR(AND(V191="INM",AG191&lt;&gt;"VF"),AND(AG191="VF",V191&lt;&gt;"INM")),"",
         IF(V191="INM",IF(AG191="VF",AF191*AB191,""),
            IF(V191="PE",4.6,
            IF(V191="AL",7,"")))),
   IF('Dados da OS'!$D$8=Parâmetros!$B$6,
      IF(V191="ALI",35,IF(V191="AIE",15,"")),""))
    )
)</f>
        <v/>
      </c>
      <c r="AJ191" s="82" t="str">
        <f t="shared" si="22"/>
        <v/>
      </c>
      <c r="AK191" s="84"/>
      <c r="AL191" s="85" t="s">
        <v>21</v>
      </c>
      <c r="AM191" s="86"/>
      <c r="AN191" s="85"/>
      <c r="AO191" s="87"/>
      <c r="AP191" s="85"/>
      <c r="AQ191" s="86"/>
      <c r="AR191" s="85"/>
    </row>
    <row r="192" spans="1:44" ht="15.75" customHeight="1">
      <c r="A192" s="54"/>
      <c r="B192" s="100"/>
      <c r="C192" s="55"/>
      <c r="D192" s="55"/>
      <c r="E192" s="56"/>
      <c r="F192" s="55"/>
      <c r="G192" s="56"/>
      <c r="H192" s="55"/>
      <c r="I192" s="64"/>
      <c r="J192" s="57" t="str">
        <f t="shared" si="23"/>
        <v/>
      </c>
      <c r="K192" s="57" t="str">
        <f t="shared" si="24"/>
        <v/>
      </c>
      <c r="L192" s="57" t="str">
        <f xml:space="preserve">
IF(OR('Dados da OS'!$D$8=Parâmetros!$B$3,'Dados da OS'!$D$8=Parâmetros!$B$4),
  IF(OR(ISBLANK(D192),ISBLANK(F192)),
     IF(OR(B192="ALI",B192="AIE"),"L",IF(ISBLANK(B192),"","A")),
     IF(B192="EE",IF(F192&gt;=3,IF(D192&gt;=5,"H","A"),
     IF(F192&gt;=2,IF(D192&gt;=16,"H",IF(D192&lt;=4,"L","A")),IF(D192&lt;=15,"L","A"))),
     IF(OR(B192="SE",B192="CE"),IF(F192&gt;=4,IF(D192&gt;=6,"H","A"),IF(F192&gt;=2,IF(D192&gt;=20,"H",IF(D192&lt;=5,"L","A")),IF(D192&lt;=19,"L","A"))),
     IF(OR(B192="ALI",B192="AIE"),IF(F192&gt;=6,IF(D192&gt;=20,"H","A"),IF(F192&gt;=2,IF(D192&gt;=51,"H",IF(D192&lt;=19,"L","A")),IF(D192&lt;=50,"L","A"))))))),
IF('Dados da OS'!$D$8=Parâmetros!$B$6,"Indicativa",
IF('Dados da OS'!$D$8=Parâmetros!$B$5,"PFS","")))</f>
        <v/>
      </c>
      <c r="M192" s="57">
        <f>IFERROR(VLOOKUP(C192,'Fatores de Impacto e INMs'!$A$3:$D$32,3,0),1)</f>
        <v>1</v>
      </c>
      <c r="N192" s="57">
        <f>IFERROR(VLOOKUP(C192,'Fatores de Impacto e INMs'!$A$3:$E$32,5,0),1)</f>
        <v>1</v>
      </c>
      <c r="O192" s="63" t="str">
        <f xml:space="preserve">
IF(OR('Dados da OS'!$D$8="Selecione o tipo da contagem",ISBLANK('Dados da OS'!$D$8),B192="INM",B192="N/A",ISBLANK(B192),ISBLANK(C192),N192="VF"),"-",
   IF('Dados da OS'!$D$8=Parâmetros!$B$3,
      IF(OR(ISBLANK(D192),ISBLANK(F192)),"-",
         IF(L192="L","Baixa",IF(L192="A","Média",IF(L192="H","Alta","-")))),
      IF('Dados da OS'!$D$8=Parâmetros!$B$4,
         IF(OR(B192="ALI",B192="AIE"),"Baixa",IF(OR(B192="EE",B192="SE",B192="CE"),"Média","-")),
         IF(OR('Dados da OS'!$D$8=Parâmetros!$B$5,'Dados da OS'!$D$8=Parâmetros!$B$6),"-"))))</f>
        <v>-</v>
      </c>
      <c r="P192" s="59" t="str">
        <f xml:space="preserve">
IF(OR(ISBLANK(B192),ISBLANK(C192),B192="N/A",ISBLANK('Dados da OS'!$D$8)),"",
   IF(OR('Dados da OS'!$D$8=Parâmetros!$B$3,'Dados da OS'!$D$8=Parâmetros!$B$4),
      IF(OR(AND(B192="INM",N192&lt;&gt;"VF"),AND(N192="VF",B192&lt;&gt;"INM")),"",
        IF(AND(B192="INM",N192="VF"),IF(ISBLANK(H192),"",M192*H192),
        IF('Dados da OS'!$D$8=Parâmetros!$B$4,
           IF(OR(B192="CE",B192="EE"),4,IF(B192="SE",5,IF(B192="ALI",7,IF(B192="AIE",5,"")))),
        IF('Dados da OS'!$D$8=Parâmetros!$B$3,
           IF(OR(ISBLANK(D192),ISBLANK(F192)),"",
              IF(B192="ALI",IF(L192="L",7,IF(L192="A",10,15)),
                 IF(B192="AIE",IF(L192="L",5,IF(L192="A",7,10)),
                    IF(B192="SE",IF(L192="L",4,IF(L192="A",5,7)),
                       IF(OR(B192="EE",B192="CE"),IF(L192="L",3,IF(L192="A",4,6)),""))))))))),
   IF('Dados da OS'!$D$8=Parâmetros!$B$5,
      IF(OR(AND(B192="INM",N192&lt;&gt;"VF"),AND(N192="VF",B192&lt;&gt;"INM")),"",
         IF(B192="INM",IF(N192="VF",M192*H192,""),
            IF(B192="PE",4.6,
            IF(B192="AL",7,"")))),
   IF('Dados da OS'!$D$8=Parâmetros!$B$6,
      IF(B192="ALI",35,IF(B192="AIE",15,"")),""))
    )
)</f>
        <v/>
      </c>
      <c r="Q192" s="60" t="str">
        <f t="shared" si="19"/>
        <v/>
      </c>
      <c r="R192" s="61"/>
      <c r="S192" s="62"/>
      <c r="T192" s="80" t="s">
        <v>21</v>
      </c>
      <c r="U192" s="81"/>
      <c r="V192" s="99"/>
      <c r="W192" s="55"/>
      <c r="X192" s="55"/>
      <c r="Y192" s="56"/>
      <c r="Z192" s="55"/>
      <c r="AA192" s="56"/>
      <c r="AB192" s="55"/>
      <c r="AC192" s="57" t="str">
        <f t="shared" si="20"/>
        <v/>
      </c>
      <c r="AD192" s="57" t="str">
        <f t="shared" si="21"/>
        <v/>
      </c>
      <c r="AE192" s="57" t="str">
        <f xml:space="preserve">
IF(OR('Dados da OS'!$D$8=Parâmetros!$B$3,'Dados da OS'!$D$8=Parâmetros!$B$4),
  IF(OR(ISBLANK(X192),ISBLANK(Z192)),
     IF(OR(V192="ALI",V192="AIE"),"L",IF(ISBLANK(V192),"","A")),
     IF(V192="EE",IF(Z192&gt;=3,IF(X192&gt;=5,"H","A"),
     IF(Z192&gt;=2,IF(X192&gt;=16,"H",IF(X192&lt;=4,"L","A")),IF(X192&lt;=15,"L","A"))),
     IF(OR(V192="SE",V192="CE"),IF(Z192&gt;=4,IF(X192&gt;=6,"H","A"),IF(Z192&gt;=2,IF(X192&gt;=20,"H",IF(X192&lt;=5,"L","A")),IF(X192&lt;=19,"L","A"))),
     IF(OR(V192="ALI",V192="AIE"),IF(Z192&gt;=6,IF(X192&gt;=20,"H","A"),IF(Z192&gt;=2,IF(X192&gt;=51,"H",IF(X192&lt;=19,"L","A")),IF(X192&lt;=50,"L","A"))))))),
IF('Dados da OS'!$D$8=Parâmetros!$B$6,"Indicativa",
IF('Dados da OS'!$D$8=Parâmetros!$B$5,"PFS","")))</f>
        <v/>
      </c>
      <c r="AF192" s="57">
        <f>IFERROR(VLOOKUP(W192,'Fatores de Impacto e INMs'!$A$3:$D$32,3,0),1)</f>
        <v>1</v>
      </c>
      <c r="AG192" s="57">
        <f>IFERROR(VLOOKUP(W192,'Fatores de Impacto e INMs'!$A$3:$E$32,5,0),1)</f>
        <v>1</v>
      </c>
      <c r="AH192" s="82" t="str">
        <f xml:space="preserve">
IF(OR('Dados da OS'!$D$8="Selecione o tipo da contagem",ISBLANK('Dados da OS'!$D$8),V192="INM",V192="N/A",ISBLANK(V192),ISBLANK(W192),AG192="VF"),"-",
   IF('Dados da OS'!$D$8=Parâmetros!$B$3,
      IF(OR(ISBLANK(X192),ISBLANK(Z192)),"-",
         IF(AE192="L","Baixa",IF(AE192="A","Média",IF(AE192="H","Alta","-")))),
      IF('Dados da OS'!$D$8=Parâmetros!$B$4,
         IF(OR(V192="ALI",V192="AIE"),"Baixa",IF(OR(V192="EE",V192="SE",V192="CE"),"Média","-")),
         IF(OR('Dados da OS'!$D$8=Parâmetros!$B$5,'Dados da OS'!$D$8=Parâmetros!$B$6),"-"))))</f>
        <v>-</v>
      </c>
      <c r="AI192" s="83" t="str">
        <f xml:space="preserve">
IF(OR(ISBLANK(V192),ISBLANK(U192),ISBLANK(W192),V192="N/A",ISBLANK('Dados da OS'!$D$8)),"",
   IF(OR('Dados da OS'!$D$8=Parâmetros!$B$3,'Dados da OS'!$D$8=Parâmetros!$B$4),
      IF(OR(AND(V192="INM",AG192&lt;&gt;"VF"),AND(AG192="VF",V192&lt;&gt;"INM")),"",
        IF(AND(V192="INM",AG192="VF"),IF(ISBLANK(AB192),"",AF192*AB192),
        IF('Dados da OS'!$D$8=Parâmetros!$B$4,
           IF(OR(V192="CE",V192="EE"),4,IF(V192="SE",5,IF(V192="ALI",7,IF(V192="AIE",5,"")))),
        IF('Dados da OS'!$D$8=Parâmetros!$B$3,
           IF(OR(ISBLANK(X192),ISBLANK(Z192)),"",
              IF(V192="ALI",IF(AE192="L",7,IF(AE192="A",10,15)),
                 IF(V192="AIE",IF(AE192="L",5,IF(AE192="A",7,10)),
                    IF(V192="SE",IF(AE192="L",4,IF(AE192="A",5,7)),
                       IF(OR(V192="EE",V192="CE"),IF(AE192="L",3,IF(AE192="A",4,6)),""))))))))),
   IF('Dados da OS'!$D$8=Parâmetros!$B$5,
      IF(OR(AND(V192="INM",AG192&lt;&gt;"VF"),AND(AG192="VF",V192&lt;&gt;"INM")),"",
         IF(V192="INM",IF(AG192="VF",AF192*AB192,""),
            IF(V192="PE",4.6,
            IF(V192="AL",7,"")))),
   IF('Dados da OS'!$D$8=Parâmetros!$B$6,
      IF(V192="ALI",35,IF(V192="AIE",15,"")),""))
    )
)</f>
        <v/>
      </c>
      <c r="AJ192" s="82" t="str">
        <f t="shared" si="22"/>
        <v/>
      </c>
      <c r="AK192" s="84"/>
      <c r="AL192" s="85" t="s">
        <v>21</v>
      </c>
      <c r="AM192" s="86"/>
      <c r="AN192" s="85"/>
      <c r="AO192" s="87"/>
      <c r="AP192" s="85"/>
      <c r="AQ192" s="86"/>
      <c r="AR192" s="85"/>
    </row>
    <row r="193" spans="1:44" ht="15.75" customHeight="1">
      <c r="A193" s="54"/>
      <c r="B193" s="100"/>
      <c r="C193" s="55"/>
      <c r="D193" s="55"/>
      <c r="E193" s="56"/>
      <c r="F193" s="55"/>
      <c r="G193" s="56"/>
      <c r="H193" s="55"/>
      <c r="I193" s="64"/>
      <c r="J193" s="57" t="str">
        <f t="shared" si="23"/>
        <v/>
      </c>
      <c r="K193" s="57" t="str">
        <f t="shared" si="24"/>
        <v/>
      </c>
      <c r="L193" s="57" t="str">
        <f xml:space="preserve">
IF(OR('Dados da OS'!$D$8=Parâmetros!$B$3,'Dados da OS'!$D$8=Parâmetros!$B$4),
  IF(OR(ISBLANK(D193),ISBLANK(F193)),
     IF(OR(B193="ALI",B193="AIE"),"L",IF(ISBLANK(B193),"","A")),
     IF(B193="EE",IF(F193&gt;=3,IF(D193&gt;=5,"H","A"),
     IF(F193&gt;=2,IF(D193&gt;=16,"H",IF(D193&lt;=4,"L","A")),IF(D193&lt;=15,"L","A"))),
     IF(OR(B193="SE",B193="CE"),IF(F193&gt;=4,IF(D193&gt;=6,"H","A"),IF(F193&gt;=2,IF(D193&gt;=20,"H",IF(D193&lt;=5,"L","A")),IF(D193&lt;=19,"L","A"))),
     IF(OR(B193="ALI",B193="AIE"),IF(F193&gt;=6,IF(D193&gt;=20,"H","A"),IF(F193&gt;=2,IF(D193&gt;=51,"H",IF(D193&lt;=19,"L","A")),IF(D193&lt;=50,"L","A"))))))),
IF('Dados da OS'!$D$8=Parâmetros!$B$6,"Indicativa",
IF('Dados da OS'!$D$8=Parâmetros!$B$5,"PFS","")))</f>
        <v/>
      </c>
      <c r="M193" s="57">
        <f>IFERROR(VLOOKUP(C193,'Fatores de Impacto e INMs'!$A$3:$D$32,3,0),1)</f>
        <v>1</v>
      </c>
      <c r="N193" s="57">
        <f>IFERROR(VLOOKUP(C193,'Fatores de Impacto e INMs'!$A$3:$E$32,5,0),1)</f>
        <v>1</v>
      </c>
      <c r="O193" s="63" t="str">
        <f xml:space="preserve">
IF(OR('Dados da OS'!$D$8="Selecione o tipo da contagem",ISBLANK('Dados da OS'!$D$8),B193="INM",B193="N/A",ISBLANK(B193),ISBLANK(C193),N193="VF"),"-",
   IF('Dados da OS'!$D$8=Parâmetros!$B$3,
      IF(OR(ISBLANK(D193),ISBLANK(F193)),"-",
         IF(L193="L","Baixa",IF(L193="A","Média",IF(L193="H","Alta","-")))),
      IF('Dados da OS'!$D$8=Parâmetros!$B$4,
         IF(OR(B193="ALI",B193="AIE"),"Baixa",IF(OR(B193="EE",B193="SE",B193="CE"),"Média","-")),
         IF(OR('Dados da OS'!$D$8=Parâmetros!$B$5,'Dados da OS'!$D$8=Parâmetros!$B$6),"-"))))</f>
        <v>-</v>
      </c>
      <c r="P193" s="59" t="str">
        <f xml:space="preserve">
IF(OR(ISBLANK(B193),ISBLANK(C193),B193="N/A",ISBLANK('Dados da OS'!$D$8)),"",
   IF(OR('Dados da OS'!$D$8=Parâmetros!$B$3,'Dados da OS'!$D$8=Parâmetros!$B$4),
      IF(OR(AND(B193="INM",N193&lt;&gt;"VF"),AND(N193="VF",B193&lt;&gt;"INM")),"",
        IF(AND(B193="INM",N193="VF"),IF(ISBLANK(H193),"",M193*H193),
        IF('Dados da OS'!$D$8=Parâmetros!$B$4,
           IF(OR(B193="CE",B193="EE"),4,IF(B193="SE",5,IF(B193="ALI",7,IF(B193="AIE",5,"")))),
        IF('Dados da OS'!$D$8=Parâmetros!$B$3,
           IF(OR(ISBLANK(D193),ISBLANK(F193)),"",
              IF(B193="ALI",IF(L193="L",7,IF(L193="A",10,15)),
                 IF(B193="AIE",IF(L193="L",5,IF(L193="A",7,10)),
                    IF(B193="SE",IF(L193="L",4,IF(L193="A",5,7)),
                       IF(OR(B193="EE",B193="CE"),IF(L193="L",3,IF(L193="A",4,6)),""))))))))),
   IF('Dados da OS'!$D$8=Parâmetros!$B$5,
      IF(OR(AND(B193="INM",N193&lt;&gt;"VF"),AND(N193="VF",B193&lt;&gt;"INM")),"",
         IF(B193="INM",IF(N193="VF",M193*H193,""),
            IF(B193="PE",4.6,
            IF(B193="AL",7,"")))),
   IF('Dados da OS'!$D$8=Parâmetros!$B$6,
      IF(B193="ALI",35,IF(B193="AIE",15,"")),""))
    )
)</f>
        <v/>
      </c>
      <c r="Q193" s="60" t="str">
        <f t="shared" si="19"/>
        <v/>
      </c>
      <c r="R193" s="61"/>
      <c r="S193" s="62"/>
      <c r="T193" s="80" t="s">
        <v>21</v>
      </c>
      <c r="U193" s="81"/>
      <c r="V193" s="99"/>
      <c r="W193" s="55"/>
      <c r="X193" s="55"/>
      <c r="Y193" s="56"/>
      <c r="Z193" s="55"/>
      <c r="AA193" s="56"/>
      <c r="AB193" s="55"/>
      <c r="AC193" s="57" t="str">
        <f t="shared" si="20"/>
        <v/>
      </c>
      <c r="AD193" s="57" t="str">
        <f t="shared" si="21"/>
        <v/>
      </c>
      <c r="AE193" s="57" t="str">
        <f xml:space="preserve">
IF(OR('Dados da OS'!$D$8=Parâmetros!$B$3,'Dados da OS'!$D$8=Parâmetros!$B$4),
  IF(OR(ISBLANK(X193),ISBLANK(Z193)),
     IF(OR(V193="ALI",V193="AIE"),"L",IF(ISBLANK(V193),"","A")),
     IF(V193="EE",IF(Z193&gt;=3,IF(X193&gt;=5,"H","A"),
     IF(Z193&gt;=2,IF(X193&gt;=16,"H",IF(X193&lt;=4,"L","A")),IF(X193&lt;=15,"L","A"))),
     IF(OR(V193="SE",V193="CE"),IF(Z193&gt;=4,IF(X193&gt;=6,"H","A"),IF(Z193&gt;=2,IF(X193&gt;=20,"H",IF(X193&lt;=5,"L","A")),IF(X193&lt;=19,"L","A"))),
     IF(OR(V193="ALI",V193="AIE"),IF(Z193&gt;=6,IF(X193&gt;=20,"H","A"),IF(Z193&gt;=2,IF(X193&gt;=51,"H",IF(X193&lt;=19,"L","A")),IF(X193&lt;=50,"L","A"))))))),
IF('Dados da OS'!$D$8=Parâmetros!$B$6,"Indicativa",
IF('Dados da OS'!$D$8=Parâmetros!$B$5,"PFS","")))</f>
        <v/>
      </c>
      <c r="AF193" s="57">
        <f>IFERROR(VLOOKUP(W193,'Fatores de Impacto e INMs'!$A$3:$D$32,3,0),1)</f>
        <v>1</v>
      </c>
      <c r="AG193" s="57">
        <f>IFERROR(VLOOKUP(W193,'Fatores de Impacto e INMs'!$A$3:$E$32,5,0),1)</f>
        <v>1</v>
      </c>
      <c r="AH193" s="82" t="str">
        <f xml:space="preserve">
IF(OR('Dados da OS'!$D$8="Selecione o tipo da contagem",ISBLANK('Dados da OS'!$D$8),V193="INM",V193="N/A",ISBLANK(V193),ISBLANK(W193),AG193="VF"),"-",
   IF('Dados da OS'!$D$8=Parâmetros!$B$3,
      IF(OR(ISBLANK(X193),ISBLANK(Z193)),"-",
         IF(AE193="L","Baixa",IF(AE193="A","Média",IF(AE193="H","Alta","-")))),
      IF('Dados da OS'!$D$8=Parâmetros!$B$4,
         IF(OR(V193="ALI",V193="AIE"),"Baixa",IF(OR(V193="EE",V193="SE",V193="CE"),"Média","-")),
         IF(OR('Dados da OS'!$D$8=Parâmetros!$B$5,'Dados da OS'!$D$8=Parâmetros!$B$6),"-"))))</f>
        <v>-</v>
      </c>
      <c r="AI193" s="83" t="str">
        <f xml:space="preserve">
IF(OR(ISBLANK(V193),ISBLANK(U193),ISBLANK(W193),V193="N/A",ISBLANK('Dados da OS'!$D$8)),"",
   IF(OR('Dados da OS'!$D$8=Parâmetros!$B$3,'Dados da OS'!$D$8=Parâmetros!$B$4),
      IF(OR(AND(V193="INM",AG193&lt;&gt;"VF"),AND(AG193="VF",V193&lt;&gt;"INM")),"",
        IF(AND(V193="INM",AG193="VF"),IF(ISBLANK(AB193),"",AF193*AB193),
        IF('Dados da OS'!$D$8=Parâmetros!$B$4,
           IF(OR(V193="CE",V193="EE"),4,IF(V193="SE",5,IF(V193="ALI",7,IF(V193="AIE",5,"")))),
        IF('Dados da OS'!$D$8=Parâmetros!$B$3,
           IF(OR(ISBLANK(X193),ISBLANK(Z193)),"",
              IF(V193="ALI",IF(AE193="L",7,IF(AE193="A",10,15)),
                 IF(V193="AIE",IF(AE193="L",5,IF(AE193="A",7,10)),
                    IF(V193="SE",IF(AE193="L",4,IF(AE193="A",5,7)),
                       IF(OR(V193="EE",V193="CE"),IF(AE193="L",3,IF(AE193="A",4,6)),""))))))))),
   IF('Dados da OS'!$D$8=Parâmetros!$B$5,
      IF(OR(AND(V193="INM",AG193&lt;&gt;"VF"),AND(AG193="VF",V193&lt;&gt;"INM")),"",
         IF(V193="INM",IF(AG193="VF",AF193*AB193,""),
            IF(V193="PE",4.6,
            IF(V193="AL",7,"")))),
   IF('Dados da OS'!$D$8=Parâmetros!$B$6,
      IF(V193="ALI",35,IF(V193="AIE",15,"")),""))
    )
)</f>
        <v/>
      </c>
      <c r="AJ193" s="82" t="str">
        <f t="shared" si="22"/>
        <v/>
      </c>
      <c r="AK193" s="84"/>
      <c r="AL193" s="85" t="s">
        <v>21</v>
      </c>
      <c r="AM193" s="86"/>
      <c r="AN193" s="85"/>
      <c r="AO193" s="87"/>
      <c r="AP193" s="85"/>
      <c r="AQ193" s="86"/>
      <c r="AR193" s="85"/>
    </row>
    <row r="194" spans="1:44" ht="15.75" customHeight="1">
      <c r="A194" s="54"/>
      <c r="B194" s="100"/>
      <c r="C194" s="55"/>
      <c r="D194" s="55"/>
      <c r="E194" s="56"/>
      <c r="F194" s="55"/>
      <c r="G194" s="56"/>
      <c r="H194" s="55"/>
      <c r="I194" s="64"/>
      <c r="J194" s="57" t="str">
        <f t="shared" si="23"/>
        <v/>
      </c>
      <c r="K194" s="57" t="str">
        <f t="shared" si="24"/>
        <v/>
      </c>
      <c r="L194" s="57" t="str">
        <f xml:space="preserve">
IF(OR('Dados da OS'!$D$8=Parâmetros!$B$3,'Dados da OS'!$D$8=Parâmetros!$B$4),
  IF(OR(ISBLANK(D194),ISBLANK(F194)),
     IF(OR(B194="ALI",B194="AIE"),"L",IF(ISBLANK(B194),"","A")),
     IF(B194="EE",IF(F194&gt;=3,IF(D194&gt;=5,"H","A"),
     IF(F194&gt;=2,IF(D194&gt;=16,"H",IF(D194&lt;=4,"L","A")),IF(D194&lt;=15,"L","A"))),
     IF(OR(B194="SE",B194="CE"),IF(F194&gt;=4,IF(D194&gt;=6,"H","A"),IF(F194&gt;=2,IF(D194&gt;=20,"H",IF(D194&lt;=5,"L","A")),IF(D194&lt;=19,"L","A"))),
     IF(OR(B194="ALI",B194="AIE"),IF(F194&gt;=6,IF(D194&gt;=20,"H","A"),IF(F194&gt;=2,IF(D194&gt;=51,"H",IF(D194&lt;=19,"L","A")),IF(D194&lt;=50,"L","A"))))))),
IF('Dados da OS'!$D$8=Parâmetros!$B$6,"Indicativa",
IF('Dados da OS'!$D$8=Parâmetros!$B$5,"PFS","")))</f>
        <v/>
      </c>
      <c r="M194" s="57">
        <f>IFERROR(VLOOKUP(C194,'Fatores de Impacto e INMs'!$A$3:$D$32,3,0),1)</f>
        <v>1</v>
      </c>
      <c r="N194" s="57">
        <f>IFERROR(VLOOKUP(C194,'Fatores de Impacto e INMs'!$A$3:$E$32,5,0),1)</f>
        <v>1</v>
      </c>
      <c r="O194" s="63" t="str">
        <f xml:space="preserve">
IF(OR('Dados da OS'!$D$8="Selecione o tipo da contagem",ISBLANK('Dados da OS'!$D$8),B194="INM",B194="N/A",ISBLANK(B194),ISBLANK(C194),N194="VF"),"-",
   IF('Dados da OS'!$D$8=Parâmetros!$B$3,
      IF(OR(ISBLANK(D194),ISBLANK(F194)),"-",
         IF(L194="L","Baixa",IF(L194="A","Média",IF(L194="H","Alta","-")))),
      IF('Dados da OS'!$D$8=Parâmetros!$B$4,
         IF(OR(B194="ALI",B194="AIE"),"Baixa",IF(OR(B194="EE",B194="SE",B194="CE"),"Média","-")),
         IF(OR('Dados da OS'!$D$8=Parâmetros!$B$5,'Dados da OS'!$D$8=Parâmetros!$B$6),"-"))))</f>
        <v>-</v>
      </c>
      <c r="P194" s="59" t="str">
        <f xml:space="preserve">
IF(OR(ISBLANK(B194),ISBLANK(C194),B194="N/A",ISBLANK('Dados da OS'!$D$8)),"",
   IF(OR('Dados da OS'!$D$8=Parâmetros!$B$3,'Dados da OS'!$D$8=Parâmetros!$B$4),
      IF(OR(AND(B194="INM",N194&lt;&gt;"VF"),AND(N194="VF",B194&lt;&gt;"INM")),"",
        IF(AND(B194="INM",N194="VF"),IF(ISBLANK(H194),"",M194*H194),
        IF('Dados da OS'!$D$8=Parâmetros!$B$4,
           IF(OR(B194="CE",B194="EE"),4,IF(B194="SE",5,IF(B194="ALI",7,IF(B194="AIE",5,"")))),
        IF('Dados da OS'!$D$8=Parâmetros!$B$3,
           IF(OR(ISBLANK(D194),ISBLANK(F194)),"",
              IF(B194="ALI",IF(L194="L",7,IF(L194="A",10,15)),
                 IF(B194="AIE",IF(L194="L",5,IF(L194="A",7,10)),
                    IF(B194="SE",IF(L194="L",4,IF(L194="A",5,7)),
                       IF(OR(B194="EE",B194="CE"),IF(L194="L",3,IF(L194="A",4,6)),""))))))))),
   IF('Dados da OS'!$D$8=Parâmetros!$B$5,
      IF(OR(AND(B194="INM",N194&lt;&gt;"VF"),AND(N194="VF",B194&lt;&gt;"INM")),"",
         IF(B194="INM",IF(N194="VF",M194*H194,""),
            IF(B194="PE",4.6,
            IF(B194="AL",7,"")))),
   IF('Dados da OS'!$D$8=Parâmetros!$B$6,
      IF(B194="ALI",35,IF(B194="AIE",15,"")),""))
    )
)</f>
        <v/>
      </c>
      <c r="Q194" s="60" t="str">
        <f t="shared" si="19"/>
        <v/>
      </c>
      <c r="R194" s="61"/>
      <c r="S194" s="62"/>
      <c r="T194" s="80" t="s">
        <v>21</v>
      </c>
      <c r="U194" s="81"/>
      <c r="V194" s="99"/>
      <c r="W194" s="55"/>
      <c r="X194" s="55"/>
      <c r="Y194" s="56"/>
      <c r="Z194" s="55"/>
      <c r="AA194" s="56"/>
      <c r="AB194" s="55"/>
      <c r="AC194" s="57" t="str">
        <f t="shared" si="20"/>
        <v/>
      </c>
      <c r="AD194" s="57" t="str">
        <f t="shared" si="21"/>
        <v/>
      </c>
      <c r="AE194" s="57" t="str">
        <f xml:space="preserve">
IF(OR('Dados da OS'!$D$8=Parâmetros!$B$3,'Dados da OS'!$D$8=Parâmetros!$B$4),
  IF(OR(ISBLANK(X194),ISBLANK(Z194)),
     IF(OR(V194="ALI",V194="AIE"),"L",IF(ISBLANK(V194),"","A")),
     IF(V194="EE",IF(Z194&gt;=3,IF(X194&gt;=5,"H","A"),
     IF(Z194&gt;=2,IF(X194&gt;=16,"H",IF(X194&lt;=4,"L","A")),IF(X194&lt;=15,"L","A"))),
     IF(OR(V194="SE",V194="CE"),IF(Z194&gt;=4,IF(X194&gt;=6,"H","A"),IF(Z194&gt;=2,IF(X194&gt;=20,"H",IF(X194&lt;=5,"L","A")),IF(X194&lt;=19,"L","A"))),
     IF(OR(V194="ALI",V194="AIE"),IF(Z194&gt;=6,IF(X194&gt;=20,"H","A"),IF(Z194&gt;=2,IF(X194&gt;=51,"H",IF(X194&lt;=19,"L","A")),IF(X194&lt;=50,"L","A"))))))),
IF('Dados da OS'!$D$8=Parâmetros!$B$6,"Indicativa",
IF('Dados da OS'!$D$8=Parâmetros!$B$5,"PFS","")))</f>
        <v/>
      </c>
      <c r="AF194" s="57">
        <f>IFERROR(VLOOKUP(W194,'Fatores de Impacto e INMs'!$A$3:$D$32,3,0),1)</f>
        <v>1</v>
      </c>
      <c r="AG194" s="57">
        <f>IFERROR(VLOOKUP(W194,'Fatores de Impacto e INMs'!$A$3:$E$32,5,0),1)</f>
        <v>1</v>
      </c>
      <c r="AH194" s="82" t="str">
        <f xml:space="preserve">
IF(OR('Dados da OS'!$D$8="Selecione o tipo da contagem",ISBLANK('Dados da OS'!$D$8),V194="INM",V194="N/A",ISBLANK(V194),ISBLANK(W194),AG194="VF"),"-",
   IF('Dados da OS'!$D$8=Parâmetros!$B$3,
      IF(OR(ISBLANK(X194),ISBLANK(Z194)),"-",
         IF(AE194="L","Baixa",IF(AE194="A","Média",IF(AE194="H","Alta","-")))),
      IF('Dados da OS'!$D$8=Parâmetros!$B$4,
         IF(OR(V194="ALI",V194="AIE"),"Baixa",IF(OR(V194="EE",V194="SE",V194="CE"),"Média","-")),
         IF(OR('Dados da OS'!$D$8=Parâmetros!$B$5,'Dados da OS'!$D$8=Parâmetros!$B$6),"-"))))</f>
        <v>-</v>
      </c>
      <c r="AI194" s="83" t="str">
        <f xml:space="preserve">
IF(OR(ISBLANK(V194),ISBLANK(U194),ISBLANK(W194),V194="N/A",ISBLANK('Dados da OS'!$D$8)),"",
   IF(OR('Dados da OS'!$D$8=Parâmetros!$B$3,'Dados da OS'!$D$8=Parâmetros!$B$4),
      IF(OR(AND(V194="INM",AG194&lt;&gt;"VF"),AND(AG194="VF",V194&lt;&gt;"INM")),"",
        IF(AND(V194="INM",AG194="VF"),IF(ISBLANK(AB194),"",AF194*AB194),
        IF('Dados da OS'!$D$8=Parâmetros!$B$4,
           IF(OR(V194="CE",V194="EE"),4,IF(V194="SE",5,IF(V194="ALI",7,IF(V194="AIE",5,"")))),
        IF('Dados da OS'!$D$8=Parâmetros!$B$3,
           IF(OR(ISBLANK(X194),ISBLANK(Z194)),"",
              IF(V194="ALI",IF(AE194="L",7,IF(AE194="A",10,15)),
                 IF(V194="AIE",IF(AE194="L",5,IF(AE194="A",7,10)),
                    IF(V194="SE",IF(AE194="L",4,IF(AE194="A",5,7)),
                       IF(OR(V194="EE",V194="CE"),IF(AE194="L",3,IF(AE194="A",4,6)),""))))))))),
   IF('Dados da OS'!$D$8=Parâmetros!$B$5,
      IF(OR(AND(V194="INM",AG194&lt;&gt;"VF"),AND(AG194="VF",V194&lt;&gt;"INM")),"",
         IF(V194="INM",IF(AG194="VF",AF194*AB194,""),
            IF(V194="PE",4.6,
            IF(V194="AL",7,"")))),
   IF('Dados da OS'!$D$8=Parâmetros!$B$6,
      IF(V194="ALI",35,IF(V194="AIE",15,"")),""))
    )
)</f>
        <v/>
      </c>
      <c r="AJ194" s="82" t="str">
        <f t="shared" si="22"/>
        <v/>
      </c>
      <c r="AK194" s="84"/>
      <c r="AL194" s="85" t="s">
        <v>21</v>
      </c>
      <c r="AM194" s="86"/>
      <c r="AN194" s="85"/>
      <c r="AO194" s="87"/>
      <c r="AP194" s="85"/>
      <c r="AQ194" s="86"/>
      <c r="AR194" s="85"/>
    </row>
    <row r="195" spans="1:44" ht="15.75" customHeight="1">
      <c r="A195" s="54"/>
      <c r="B195" s="100"/>
      <c r="C195" s="55"/>
      <c r="D195" s="55"/>
      <c r="E195" s="56"/>
      <c r="F195" s="55"/>
      <c r="G195" s="56"/>
      <c r="H195" s="55"/>
      <c r="I195" s="64"/>
      <c r="J195" s="57" t="str">
        <f t="shared" si="23"/>
        <v/>
      </c>
      <c r="K195" s="57" t="str">
        <f t="shared" si="24"/>
        <v/>
      </c>
      <c r="L195" s="57" t="str">
        <f xml:space="preserve">
IF(OR('Dados da OS'!$D$8=Parâmetros!$B$3,'Dados da OS'!$D$8=Parâmetros!$B$4),
  IF(OR(ISBLANK(D195),ISBLANK(F195)),
     IF(OR(B195="ALI",B195="AIE"),"L",IF(ISBLANK(B195),"","A")),
     IF(B195="EE",IF(F195&gt;=3,IF(D195&gt;=5,"H","A"),
     IF(F195&gt;=2,IF(D195&gt;=16,"H",IF(D195&lt;=4,"L","A")),IF(D195&lt;=15,"L","A"))),
     IF(OR(B195="SE",B195="CE"),IF(F195&gt;=4,IF(D195&gt;=6,"H","A"),IF(F195&gt;=2,IF(D195&gt;=20,"H",IF(D195&lt;=5,"L","A")),IF(D195&lt;=19,"L","A"))),
     IF(OR(B195="ALI",B195="AIE"),IF(F195&gt;=6,IF(D195&gt;=20,"H","A"),IF(F195&gt;=2,IF(D195&gt;=51,"H",IF(D195&lt;=19,"L","A")),IF(D195&lt;=50,"L","A"))))))),
IF('Dados da OS'!$D$8=Parâmetros!$B$6,"Indicativa",
IF('Dados da OS'!$D$8=Parâmetros!$B$5,"PFS","")))</f>
        <v/>
      </c>
      <c r="M195" s="57">
        <f>IFERROR(VLOOKUP(C195,'Fatores de Impacto e INMs'!$A$3:$D$32,3,0),1)</f>
        <v>1</v>
      </c>
      <c r="N195" s="57">
        <f>IFERROR(VLOOKUP(C195,'Fatores de Impacto e INMs'!$A$3:$E$32,5,0),1)</f>
        <v>1</v>
      </c>
      <c r="O195" s="63" t="str">
        <f xml:space="preserve">
IF(OR('Dados da OS'!$D$8="Selecione o tipo da contagem",ISBLANK('Dados da OS'!$D$8),B195="INM",B195="N/A",ISBLANK(B195),ISBLANK(C195),N195="VF"),"-",
   IF('Dados da OS'!$D$8=Parâmetros!$B$3,
      IF(OR(ISBLANK(D195),ISBLANK(F195)),"-",
         IF(L195="L","Baixa",IF(L195="A","Média",IF(L195="H","Alta","-")))),
      IF('Dados da OS'!$D$8=Parâmetros!$B$4,
         IF(OR(B195="ALI",B195="AIE"),"Baixa",IF(OR(B195="EE",B195="SE",B195="CE"),"Média","-")),
         IF(OR('Dados da OS'!$D$8=Parâmetros!$B$5,'Dados da OS'!$D$8=Parâmetros!$B$6),"-"))))</f>
        <v>-</v>
      </c>
      <c r="P195" s="59" t="str">
        <f xml:space="preserve">
IF(OR(ISBLANK(B195),ISBLANK(C195),B195="N/A",ISBLANK('Dados da OS'!$D$8)),"",
   IF(OR('Dados da OS'!$D$8=Parâmetros!$B$3,'Dados da OS'!$D$8=Parâmetros!$B$4),
      IF(OR(AND(B195="INM",N195&lt;&gt;"VF"),AND(N195="VF",B195&lt;&gt;"INM")),"",
        IF(AND(B195="INM",N195="VF"),IF(ISBLANK(H195),"",M195*H195),
        IF('Dados da OS'!$D$8=Parâmetros!$B$4,
           IF(OR(B195="CE",B195="EE"),4,IF(B195="SE",5,IF(B195="ALI",7,IF(B195="AIE",5,"")))),
        IF('Dados da OS'!$D$8=Parâmetros!$B$3,
           IF(OR(ISBLANK(D195),ISBLANK(F195)),"",
              IF(B195="ALI",IF(L195="L",7,IF(L195="A",10,15)),
                 IF(B195="AIE",IF(L195="L",5,IF(L195="A",7,10)),
                    IF(B195="SE",IF(L195="L",4,IF(L195="A",5,7)),
                       IF(OR(B195="EE",B195="CE"),IF(L195="L",3,IF(L195="A",4,6)),""))))))))),
   IF('Dados da OS'!$D$8=Parâmetros!$B$5,
      IF(OR(AND(B195="INM",N195&lt;&gt;"VF"),AND(N195="VF",B195&lt;&gt;"INM")),"",
         IF(B195="INM",IF(N195="VF",M195*H195,""),
            IF(B195="PE",4.6,
            IF(B195="AL",7,"")))),
   IF('Dados da OS'!$D$8=Parâmetros!$B$6,
      IF(B195="ALI",35,IF(B195="AIE",15,"")),""))
    )
)</f>
        <v/>
      </c>
      <c r="Q195" s="60" t="str">
        <f t="shared" si="19"/>
        <v/>
      </c>
      <c r="R195" s="61"/>
      <c r="S195" s="62"/>
      <c r="T195" s="80" t="s">
        <v>21</v>
      </c>
      <c r="U195" s="81"/>
      <c r="V195" s="99"/>
      <c r="W195" s="55"/>
      <c r="X195" s="55"/>
      <c r="Y195" s="56"/>
      <c r="Z195" s="55"/>
      <c r="AA195" s="56"/>
      <c r="AB195" s="55"/>
      <c r="AC195" s="57" t="str">
        <f t="shared" si="20"/>
        <v/>
      </c>
      <c r="AD195" s="57" t="str">
        <f t="shared" si="21"/>
        <v/>
      </c>
      <c r="AE195" s="57" t="str">
        <f xml:space="preserve">
IF(OR('Dados da OS'!$D$8=Parâmetros!$B$3,'Dados da OS'!$D$8=Parâmetros!$B$4),
  IF(OR(ISBLANK(X195),ISBLANK(Z195)),
     IF(OR(V195="ALI",V195="AIE"),"L",IF(ISBLANK(V195),"","A")),
     IF(V195="EE",IF(Z195&gt;=3,IF(X195&gt;=5,"H","A"),
     IF(Z195&gt;=2,IF(X195&gt;=16,"H",IF(X195&lt;=4,"L","A")),IF(X195&lt;=15,"L","A"))),
     IF(OR(V195="SE",V195="CE"),IF(Z195&gt;=4,IF(X195&gt;=6,"H","A"),IF(Z195&gt;=2,IF(X195&gt;=20,"H",IF(X195&lt;=5,"L","A")),IF(X195&lt;=19,"L","A"))),
     IF(OR(V195="ALI",V195="AIE"),IF(Z195&gt;=6,IF(X195&gt;=20,"H","A"),IF(Z195&gt;=2,IF(X195&gt;=51,"H",IF(X195&lt;=19,"L","A")),IF(X195&lt;=50,"L","A"))))))),
IF('Dados da OS'!$D$8=Parâmetros!$B$6,"Indicativa",
IF('Dados da OS'!$D$8=Parâmetros!$B$5,"PFS","")))</f>
        <v/>
      </c>
      <c r="AF195" s="57">
        <f>IFERROR(VLOOKUP(W195,'Fatores de Impacto e INMs'!$A$3:$D$32,3,0),1)</f>
        <v>1</v>
      </c>
      <c r="AG195" s="57">
        <f>IFERROR(VLOOKUP(W195,'Fatores de Impacto e INMs'!$A$3:$E$32,5,0),1)</f>
        <v>1</v>
      </c>
      <c r="AH195" s="82" t="str">
        <f xml:space="preserve">
IF(OR('Dados da OS'!$D$8="Selecione o tipo da contagem",ISBLANK('Dados da OS'!$D$8),V195="INM",V195="N/A",ISBLANK(V195),ISBLANK(W195),AG195="VF"),"-",
   IF('Dados da OS'!$D$8=Parâmetros!$B$3,
      IF(OR(ISBLANK(X195),ISBLANK(Z195)),"-",
         IF(AE195="L","Baixa",IF(AE195="A","Média",IF(AE195="H","Alta","-")))),
      IF('Dados da OS'!$D$8=Parâmetros!$B$4,
         IF(OR(V195="ALI",V195="AIE"),"Baixa",IF(OR(V195="EE",V195="SE",V195="CE"),"Média","-")),
         IF(OR('Dados da OS'!$D$8=Parâmetros!$B$5,'Dados da OS'!$D$8=Parâmetros!$B$6),"-"))))</f>
        <v>-</v>
      </c>
      <c r="AI195" s="83" t="str">
        <f xml:space="preserve">
IF(OR(ISBLANK(V195),ISBLANK(U195),ISBLANK(W195),V195="N/A",ISBLANK('Dados da OS'!$D$8)),"",
   IF(OR('Dados da OS'!$D$8=Parâmetros!$B$3,'Dados da OS'!$D$8=Parâmetros!$B$4),
      IF(OR(AND(V195="INM",AG195&lt;&gt;"VF"),AND(AG195="VF",V195&lt;&gt;"INM")),"",
        IF(AND(V195="INM",AG195="VF"),IF(ISBLANK(AB195),"",AF195*AB195),
        IF('Dados da OS'!$D$8=Parâmetros!$B$4,
           IF(OR(V195="CE",V195="EE"),4,IF(V195="SE",5,IF(V195="ALI",7,IF(V195="AIE",5,"")))),
        IF('Dados da OS'!$D$8=Parâmetros!$B$3,
           IF(OR(ISBLANK(X195),ISBLANK(Z195)),"",
              IF(V195="ALI",IF(AE195="L",7,IF(AE195="A",10,15)),
                 IF(V195="AIE",IF(AE195="L",5,IF(AE195="A",7,10)),
                    IF(V195="SE",IF(AE195="L",4,IF(AE195="A",5,7)),
                       IF(OR(V195="EE",V195="CE"),IF(AE195="L",3,IF(AE195="A",4,6)),""))))))))),
   IF('Dados da OS'!$D$8=Parâmetros!$B$5,
      IF(OR(AND(V195="INM",AG195&lt;&gt;"VF"),AND(AG195="VF",V195&lt;&gt;"INM")),"",
         IF(V195="INM",IF(AG195="VF",AF195*AB195,""),
            IF(V195="PE",4.6,
            IF(V195="AL",7,"")))),
   IF('Dados da OS'!$D$8=Parâmetros!$B$6,
      IF(V195="ALI",35,IF(V195="AIE",15,"")),""))
    )
)</f>
        <v/>
      </c>
      <c r="AJ195" s="82" t="str">
        <f t="shared" si="22"/>
        <v/>
      </c>
      <c r="AK195" s="84"/>
      <c r="AL195" s="85" t="s">
        <v>21</v>
      </c>
      <c r="AM195" s="86"/>
      <c r="AN195" s="85"/>
      <c r="AO195" s="87"/>
      <c r="AP195" s="85"/>
      <c r="AQ195" s="86"/>
      <c r="AR195" s="85"/>
    </row>
    <row r="196" spans="1:44" ht="15.75" customHeight="1">
      <c r="A196" s="54"/>
      <c r="B196" s="100"/>
      <c r="C196" s="55"/>
      <c r="D196" s="55"/>
      <c r="E196" s="56"/>
      <c r="F196" s="55"/>
      <c r="G196" s="56"/>
      <c r="H196" s="55"/>
      <c r="I196" s="64"/>
      <c r="J196" s="57" t="str">
        <f t="shared" si="23"/>
        <v/>
      </c>
      <c r="K196" s="57" t="str">
        <f t="shared" si="24"/>
        <v/>
      </c>
      <c r="L196" s="57" t="str">
        <f xml:space="preserve">
IF(OR('Dados da OS'!$D$8=Parâmetros!$B$3,'Dados da OS'!$D$8=Parâmetros!$B$4),
  IF(OR(ISBLANK(D196),ISBLANK(F196)),
     IF(OR(B196="ALI",B196="AIE"),"L",IF(ISBLANK(B196),"","A")),
     IF(B196="EE",IF(F196&gt;=3,IF(D196&gt;=5,"H","A"),
     IF(F196&gt;=2,IF(D196&gt;=16,"H",IF(D196&lt;=4,"L","A")),IF(D196&lt;=15,"L","A"))),
     IF(OR(B196="SE",B196="CE"),IF(F196&gt;=4,IF(D196&gt;=6,"H","A"),IF(F196&gt;=2,IF(D196&gt;=20,"H",IF(D196&lt;=5,"L","A")),IF(D196&lt;=19,"L","A"))),
     IF(OR(B196="ALI",B196="AIE"),IF(F196&gt;=6,IF(D196&gt;=20,"H","A"),IF(F196&gt;=2,IF(D196&gt;=51,"H",IF(D196&lt;=19,"L","A")),IF(D196&lt;=50,"L","A"))))))),
IF('Dados da OS'!$D$8=Parâmetros!$B$6,"Indicativa",
IF('Dados da OS'!$D$8=Parâmetros!$B$5,"PFS","")))</f>
        <v/>
      </c>
      <c r="M196" s="57">
        <f>IFERROR(VLOOKUP(C196,'Fatores de Impacto e INMs'!$A$3:$D$32,3,0),1)</f>
        <v>1</v>
      </c>
      <c r="N196" s="57">
        <f>IFERROR(VLOOKUP(C196,'Fatores de Impacto e INMs'!$A$3:$E$32,5,0),1)</f>
        <v>1</v>
      </c>
      <c r="O196" s="63" t="str">
        <f xml:space="preserve">
IF(OR('Dados da OS'!$D$8="Selecione o tipo da contagem",ISBLANK('Dados da OS'!$D$8),B196="INM",B196="N/A",ISBLANK(B196),ISBLANK(C196),N196="VF"),"-",
   IF('Dados da OS'!$D$8=Parâmetros!$B$3,
      IF(OR(ISBLANK(D196),ISBLANK(F196)),"-",
         IF(L196="L","Baixa",IF(L196="A","Média",IF(L196="H","Alta","-")))),
      IF('Dados da OS'!$D$8=Parâmetros!$B$4,
         IF(OR(B196="ALI",B196="AIE"),"Baixa",IF(OR(B196="EE",B196="SE",B196="CE"),"Média","-")),
         IF(OR('Dados da OS'!$D$8=Parâmetros!$B$5,'Dados da OS'!$D$8=Parâmetros!$B$6),"-"))))</f>
        <v>-</v>
      </c>
      <c r="P196" s="59" t="str">
        <f xml:space="preserve">
IF(OR(ISBLANK(B196),ISBLANK(C196),B196="N/A",ISBLANK('Dados da OS'!$D$8)),"",
   IF(OR('Dados da OS'!$D$8=Parâmetros!$B$3,'Dados da OS'!$D$8=Parâmetros!$B$4),
      IF(OR(AND(B196="INM",N196&lt;&gt;"VF"),AND(N196="VF",B196&lt;&gt;"INM")),"",
        IF(AND(B196="INM",N196="VF"),IF(ISBLANK(H196),"",M196*H196),
        IF('Dados da OS'!$D$8=Parâmetros!$B$4,
           IF(OR(B196="CE",B196="EE"),4,IF(B196="SE",5,IF(B196="ALI",7,IF(B196="AIE",5,"")))),
        IF('Dados da OS'!$D$8=Parâmetros!$B$3,
           IF(OR(ISBLANK(D196),ISBLANK(F196)),"",
              IF(B196="ALI",IF(L196="L",7,IF(L196="A",10,15)),
                 IF(B196="AIE",IF(L196="L",5,IF(L196="A",7,10)),
                    IF(B196="SE",IF(L196="L",4,IF(L196="A",5,7)),
                       IF(OR(B196="EE",B196="CE"),IF(L196="L",3,IF(L196="A",4,6)),""))))))))),
   IF('Dados da OS'!$D$8=Parâmetros!$B$5,
      IF(OR(AND(B196="INM",N196&lt;&gt;"VF"),AND(N196="VF",B196&lt;&gt;"INM")),"",
         IF(B196="INM",IF(N196="VF",M196*H196,""),
            IF(B196="PE",4.6,
            IF(B196="AL",7,"")))),
   IF('Dados da OS'!$D$8=Parâmetros!$B$6,
      IF(B196="ALI",35,IF(B196="AIE",15,"")),""))
    )
)</f>
        <v/>
      </c>
      <c r="Q196" s="60" t="str">
        <f t="shared" si="19"/>
        <v/>
      </c>
      <c r="R196" s="61"/>
      <c r="S196" s="62"/>
      <c r="T196" s="80" t="s">
        <v>21</v>
      </c>
      <c r="U196" s="81"/>
      <c r="V196" s="99"/>
      <c r="W196" s="55"/>
      <c r="X196" s="55"/>
      <c r="Y196" s="56"/>
      <c r="Z196" s="55"/>
      <c r="AA196" s="56"/>
      <c r="AB196" s="55"/>
      <c r="AC196" s="57" t="str">
        <f t="shared" si="20"/>
        <v/>
      </c>
      <c r="AD196" s="57" t="str">
        <f t="shared" si="21"/>
        <v/>
      </c>
      <c r="AE196" s="57" t="str">
        <f xml:space="preserve">
IF(OR('Dados da OS'!$D$8=Parâmetros!$B$3,'Dados da OS'!$D$8=Parâmetros!$B$4),
  IF(OR(ISBLANK(X196),ISBLANK(Z196)),
     IF(OR(V196="ALI",V196="AIE"),"L",IF(ISBLANK(V196),"","A")),
     IF(V196="EE",IF(Z196&gt;=3,IF(X196&gt;=5,"H","A"),
     IF(Z196&gt;=2,IF(X196&gt;=16,"H",IF(X196&lt;=4,"L","A")),IF(X196&lt;=15,"L","A"))),
     IF(OR(V196="SE",V196="CE"),IF(Z196&gt;=4,IF(X196&gt;=6,"H","A"),IF(Z196&gt;=2,IF(X196&gt;=20,"H",IF(X196&lt;=5,"L","A")),IF(X196&lt;=19,"L","A"))),
     IF(OR(V196="ALI",V196="AIE"),IF(Z196&gt;=6,IF(X196&gt;=20,"H","A"),IF(Z196&gt;=2,IF(X196&gt;=51,"H",IF(X196&lt;=19,"L","A")),IF(X196&lt;=50,"L","A"))))))),
IF('Dados da OS'!$D$8=Parâmetros!$B$6,"Indicativa",
IF('Dados da OS'!$D$8=Parâmetros!$B$5,"PFS","")))</f>
        <v/>
      </c>
      <c r="AF196" s="57">
        <f>IFERROR(VLOOKUP(W196,'Fatores de Impacto e INMs'!$A$3:$D$32,3,0),1)</f>
        <v>1</v>
      </c>
      <c r="AG196" s="57">
        <f>IFERROR(VLOOKUP(W196,'Fatores de Impacto e INMs'!$A$3:$E$32,5,0),1)</f>
        <v>1</v>
      </c>
      <c r="AH196" s="82" t="str">
        <f xml:space="preserve">
IF(OR('Dados da OS'!$D$8="Selecione o tipo da contagem",ISBLANK('Dados da OS'!$D$8),V196="INM",V196="N/A",ISBLANK(V196),ISBLANK(W196),AG196="VF"),"-",
   IF('Dados da OS'!$D$8=Parâmetros!$B$3,
      IF(OR(ISBLANK(X196),ISBLANK(Z196)),"-",
         IF(AE196="L","Baixa",IF(AE196="A","Média",IF(AE196="H","Alta","-")))),
      IF('Dados da OS'!$D$8=Parâmetros!$B$4,
         IF(OR(V196="ALI",V196="AIE"),"Baixa",IF(OR(V196="EE",V196="SE",V196="CE"),"Média","-")),
         IF(OR('Dados da OS'!$D$8=Parâmetros!$B$5,'Dados da OS'!$D$8=Parâmetros!$B$6),"-"))))</f>
        <v>-</v>
      </c>
      <c r="AI196" s="83" t="str">
        <f xml:space="preserve">
IF(OR(ISBLANK(V196),ISBLANK(U196),ISBLANK(W196),V196="N/A",ISBLANK('Dados da OS'!$D$8)),"",
   IF(OR('Dados da OS'!$D$8=Parâmetros!$B$3,'Dados da OS'!$D$8=Parâmetros!$B$4),
      IF(OR(AND(V196="INM",AG196&lt;&gt;"VF"),AND(AG196="VF",V196&lt;&gt;"INM")),"",
        IF(AND(V196="INM",AG196="VF"),IF(ISBLANK(AB196),"",AF196*AB196),
        IF('Dados da OS'!$D$8=Parâmetros!$B$4,
           IF(OR(V196="CE",V196="EE"),4,IF(V196="SE",5,IF(V196="ALI",7,IF(V196="AIE",5,"")))),
        IF('Dados da OS'!$D$8=Parâmetros!$B$3,
           IF(OR(ISBLANK(X196),ISBLANK(Z196)),"",
              IF(V196="ALI",IF(AE196="L",7,IF(AE196="A",10,15)),
                 IF(V196="AIE",IF(AE196="L",5,IF(AE196="A",7,10)),
                    IF(V196="SE",IF(AE196="L",4,IF(AE196="A",5,7)),
                       IF(OR(V196="EE",V196="CE"),IF(AE196="L",3,IF(AE196="A",4,6)),""))))))))),
   IF('Dados da OS'!$D$8=Parâmetros!$B$5,
      IF(OR(AND(V196="INM",AG196&lt;&gt;"VF"),AND(AG196="VF",V196&lt;&gt;"INM")),"",
         IF(V196="INM",IF(AG196="VF",AF196*AB196,""),
            IF(V196="PE",4.6,
            IF(V196="AL",7,"")))),
   IF('Dados da OS'!$D$8=Parâmetros!$B$6,
      IF(V196="ALI",35,IF(V196="AIE",15,"")),""))
    )
)</f>
        <v/>
      </c>
      <c r="AJ196" s="82" t="str">
        <f t="shared" si="22"/>
        <v/>
      </c>
      <c r="AK196" s="84"/>
      <c r="AL196" s="85" t="s">
        <v>21</v>
      </c>
      <c r="AM196" s="86"/>
      <c r="AN196" s="85"/>
      <c r="AO196" s="87"/>
      <c r="AP196" s="85"/>
      <c r="AQ196" s="86"/>
      <c r="AR196" s="85"/>
    </row>
    <row r="197" spans="1:44" ht="15.75" customHeight="1">
      <c r="A197" s="54"/>
      <c r="B197" s="100"/>
      <c r="C197" s="55"/>
      <c r="D197" s="55"/>
      <c r="E197" s="56"/>
      <c r="F197" s="55"/>
      <c r="G197" s="56"/>
      <c r="H197" s="55"/>
      <c r="I197" s="64"/>
      <c r="J197" s="57" t="str">
        <f t="shared" si="23"/>
        <v/>
      </c>
      <c r="K197" s="57" t="str">
        <f t="shared" si="24"/>
        <v/>
      </c>
      <c r="L197" s="57" t="str">
        <f xml:space="preserve">
IF(OR('Dados da OS'!$D$8=Parâmetros!$B$3,'Dados da OS'!$D$8=Parâmetros!$B$4),
  IF(OR(ISBLANK(D197),ISBLANK(F197)),
     IF(OR(B197="ALI",B197="AIE"),"L",IF(ISBLANK(B197),"","A")),
     IF(B197="EE",IF(F197&gt;=3,IF(D197&gt;=5,"H","A"),
     IF(F197&gt;=2,IF(D197&gt;=16,"H",IF(D197&lt;=4,"L","A")),IF(D197&lt;=15,"L","A"))),
     IF(OR(B197="SE",B197="CE"),IF(F197&gt;=4,IF(D197&gt;=6,"H","A"),IF(F197&gt;=2,IF(D197&gt;=20,"H",IF(D197&lt;=5,"L","A")),IF(D197&lt;=19,"L","A"))),
     IF(OR(B197="ALI",B197="AIE"),IF(F197&gt;=6,IF(D197&gt;=20,"H","A"),IF(F197&gt;=2,IF(D197&gt;=51,"H",IF(D197&lt;=19,"L","A")),IF(D197&lt;=50,"L","A"))))))),
IF('Dados da OS'!$D$8=Parâmetros!$B$6,"Indicativa",
IF('Dados da OS'!$D$8=Parâmetros!$B$5,"PFS","")))</f>
        <v/>
      </c>
      <c r="M197" s="57">
        <f>IFERROR(VLOOKUP(C197,'Fatores de Impacto e INMs'!$A$3:$D$32,3,0),1)</f>
        <v>1</v>
      </c>
      <c r="N197" s="57">
        <f>IFERROR(VLOOKUP(C197,'Fatores de Impacto e INMs'!$A$3:$E$32,5,0),1)</f>
        <v>1</v>
      </c>
      <c r="O197" s="63" t="str">
        <f xml:space="preserve">
IF(OR('Dados da OS'!$D$8="Selecione o tipo da contagem",ISBLANK('Dados da OS'!$D$8),B197="INM",B197="N/A",ISBLANK(B197),ISBLANK(C197),N197="VF"),"-",
   IF('Dados da OS'!$D$8=Parâmetros!$B$3,
      IF(OR(ISBLANK(D197),ISBLANK(F197)),"-",
         IF(L197="L","Baixa",IF(L197="A","Média",IF(L197="H","Alta","-")))),
      IF('Dados da OS'!$D$8=Parâmetros!$B$4,
         IF(OR(B197="ALI",B197="AIE"),"Baixa",IF(OR(B197="EE",B197="SE",B197="CE"),"Média","-")),
         IF(OR('Dados da OS'!$D$8=Parâmetros!$B$5,'Dados da OS'!$D$8=Parâmetros!$B$6),"-"))))</f>
        <v>-</v>
      </c>
      <c r="P197" s="59" t="str">
        <f xml:space="preserve">
IF(OR(ISBLANK(B197),ISBLANK(C197),B197="N/A",ISBLANK('Dados da OS'!$D$8)),"",
   IF(OR('Dados da OS'!$D$8=Parâmetros!$B$3,'Dados da OS'!$D$8=Parâmetros!$B$4),
      IF(OR(AND(B197="INM",N197&lt;&gt;"VF"),AND(N197="VF",B197&lt;&gt;"INM")),"",
        IF(AND(B197="INM",N197="VF"),IF(ISBLANK(H197),"",M197*H197),
        IF('Dados da OS'!$D$8=Parâmetros!$B$4,
           IF(OR(B197="CE",B197="EE"),4,IF(B197="SE",5,IF(B197="ALI",7,IF(B197="AIE",5,"")))),
        IF('Dados da OS'!$D$8=Parâmetros!$B$3,
           IF(OR(ISBLANK(D197),ISBLANK(F197)),"",
              IF(B197="ALI",IF(L197="L",7,IF(L197="A",10,15)),
                 IF(B197="AIE",IF(L197="L",5,IF(L197="A",7,10)),
                    IF(B197="SE",IF(L197="L",4,IF(L197="A",5,7)),
                       IF(OR(B197="EE",B197="CE"),IF(L197="L",3,IF(L197="A",4,6)),""))))))))),
   IF('Dados da OS'!$D$8=Parâmetros!$B$5,
      IF(OR(AND(B197="INM",N197&lt;&gt;"VF"),AND(N197="VF",B197&lt;&gt;"INM")),"",
         IF(B197="INM",IF(N197="VF",M197*H197,""),
            IF(B197="PE",4.6,
            IF(B197="AL",7,"")))),
   IF('Dados da OS'!$D$8=Parâmetros!$B$6,
      IF(B197="ALI",35,IF(B197="AIE",15,"")),""))
    )
)</f>
        <v/>
      </c>
      <c r="Q197" s="60" t="str">
        <f t="shared" ref="Q197:Q260" si="25">IF(P197="","",IF(B197="INM",P197,P197*M197))</f>
        <v/>
      </c>
      <c r="R197" s="61"/>
      <c r="S197" s="62"/>
      <c r="T197" s="80" t="s">
        <v>21</v>
      </c>
      <c r="U197" s="81"/>
      <c r="V197" s="99"/>
      <c r="W197" s="55"/>
      <c r="X197" s="55"/>
      <c r="Y197" s="56"/>
      <c r="Z197" s="55"/>
      <c r="AA197" s="56"/>
      <c r="AB197" s="55"/>
      <c r="AC197" s="57" t="str">
        <f t="shared" ref="AC197:AC260" si="26">CONCATENATE(V197,AE197)</f>
        <v/>
      </c>
      <c r="AD197" s="57" t="str">
        <f t="shared" ref="AD197:AD260" si="27">CONCATENATE(V197,W197,AE197,AJ197)</f>
        <v/>
      </c>
      <c r="AE197" s="57" t="str">
        <f xml:space="preserve">
IF(OR('Dados da OS'!$D$8=Parâmetros!$B$3,'Dados da OS'!$D$8=Parâmetros!$B$4),
  IF(OR(ISBLANK(X197),ISBLANK(Z197)),
     IF(OR(V197="ALI",V197="AIE"),"L",IF(ISBLANK(V197),"","A")),
     IF(V197="EE",IF(Z197&gt;=3,IF(X197&gt;=5,"H","A"),
     IF(Z197&gt;=2,IF(X197&gt;=16,"H",IF(X197&lt;=4,"L","A")),IF(X197&lt;=15,"L","A"))),
     IF(OR(V197="SE",V197="CE"),IF(Z197&gt;=4,IF(X197&gt;=6,"H","A"),IF(Z197&gt;=2,IF(X197&gt;=20,"H",IF(X197&lt;=5,"L","A")),IF(X197&lt;=19,"L","A"))),
     IF(OR(V197="ALI",V197="AIE"),IF(Z197&gt;=6,IF(X197&gt;=20,"H","A"),IF(Z197&gt;=2,IF(X197&gt;=51,"H",IF(X197&lt;=19,"L","A")),IF(X197&lt;=50,"L","A"))))))),
IF('Dados da OS'!$D$8=Parâmetros!$B$6,"Indicativa",
IF('Dados da OS'!$D$8=Parâmetros!$B$5,"PFS","")))</f>
        <v/>
      </c>
      <c r="AF197" s="57">
        <f>IFERROR(VLOOKUP(W197,'Fatores de Impacto e INMs'!$A$3:$D$32,3,0),1)</f>
        <v>1</v>
      </c>
      <c r="AG197" s="57">
        <f>IFERROR(VLOOKUP(W197,'Fatores de Impacto e INMs'!$A$3:$E$32,5,0),1)</f>
        <v>1</v>
      </c>
      <c r="AH197" s="82" t="str">
        <f xml:space="preserve">
IF(OR('Dados da OS'!$D$8="Selecione o tipo da contagem",ISBLANK('Dados da OS'!$D$8),V197="INM",V197="N/A",ISBLANK(V197),ISBLANK(W197),AG197="VF"),"-",
   IF('Dados da OS'!$D$8=Parâmetros!$B$3,
      IF(OR(ISBLANK(X197),ISBLANK(Z197)),"-",
         IF(AE197="L","Baixa",IF(AE197="A","Média",IF(AE197="H","Alta","-")))),
      IF('Dados da OS'!$D$8=Parâmetros!$B$4,
         IF(OR(V197="ALI",V197="AIE"),"Baixa",IF(OR(V197="EE",V197="SE",V197="CE"),"Média","-")),
         IF(OR('Dados da OS'!$D$8=Parâmetros!$B$5,'Dados da OS'!$D$8=Parâmetros!$B$6),"-"))))</f>
        <v>-</v>
      </c>
      <c r="AI197" s="83" t="str">
        <f xml:space="preserve">
IF(OR(ISBLANK(V197),ISBLANK(U197),ISBLANK(W197),V197="N/A",ISBLANK('Dados da OS'!$D$8)),"",
   IF(OR('Dados da OS'!$D$8=Parâmetros!$B$3,'Dados da OS'!$D$8=Parâmetros!$B$4),
      IF(OR(AND(V197="INM",AG197&lt;&gt;"VF"),AND(AG197="VF",V197&lt;&gt;"INM")),"",
        IF(AND(V197="INM",AG197="VF"),IF(ISBLANK(AB197),"",AF197*AB197),
        IF('Dados da OS'!$D$8=Parâmetros!$B$4,
           IF(OR(V197="CE",V197="EE"),4,IF(V197="SE",5,IF(V197="ALI",7,IF(V197="AIE",5,"")))),
        IF('Dados da OS'!$D$8=Parâmetros!$B$3,
           IF(OR(ISBLANK(X197),ISBLANK(Z197)),"",
              IF(V197="ALI",IF(AE197="L",7,IF(AE197="A",10,15)),
                 IF(V197="AIE",IF(AE197="L",5,IF(AE197="A",7,10)),
                    IF(V197="SE",IF(AE197="L",4,IF(AE197="A",5,7)),
                       IF(OR(V197="EE",V197="CE"),IF(AE197="L",3,IF(AE197="A",4,6)),""))))))))),
   IF('Dados da OS'!$D$8=Parâmetros!$B$5,
      IF(OR(AND(V197="INM",AG197&lt;&gt;"VF"),AND(AG197="VF",V197&lt;&gt;"INM")),"",
         IF(V197="INM",IF(AG197="VF",AF197*AB197,""),
            IF(V197="PE",4.6,
            IF(V197="AL",7,"")))),
   IF('Dados da OS'!$D$8=Parâmetros!$B$6,
      IF(V197="ALI",35,IF(V197="AIE",15,"")),""))
    )
)</f>
        <v/>
      </c>
      <c r="AJ197" s="82" t="str">
        <f t="shared" ref="AJ197:AJ260" si="28">IF(AI197="","",IF(V197="INM",AI197,AI197*AF197))</f>
        <v/>
      </c>
      <c r="AK197" s="84"/>
      <c r="AL197" s="85" t="s">
        <v>21</v>
      </c>
      <c r="AM197" s="86"/>
      <c r="AN197" s="85"/>
      <c r="AO197" s="87"/>
      <c r="AP197" s="85"/>
      <c r="AQ197" s="86"/>
      <c r="AR197" s="85"/>
    </row>
    <row r="198" spans="1:44" ht="15.75" customHeight="1">
      <c r="A198" s="54"/>
      <c r="B198" s="100"/>
      <c r="C198" s="55"/>
      <c r="D198" s="55"/>
      <c r="E198" s="56"/>
      <c r="F198" s="55"/>
      <c r="G198" s="56"/>
      <c r="H198" s="55"/>
      <c r="I198" s="64"/>
      <c r="J198" s="57" t="str">
        <f t="shared" si="23"/>
        <v/>
      </c>
      <c r="K198" s="57" t="str">
        <f t="shared" si="24"/>
        <v/>
      </c>
      <c r="L198" s="57" t="str">
        <f xml:space="preserve">
IF(OR('Dados da OS'!$D$8=Parâmetros!$B$3,'Dados da OS'!$D$8=Parâmetros!$B$4),
  IF(OR(ISBLANK(D198),ISBLANK(F198)),
     IF(OR(B198="ALI",B198="AIE"),"L",IF(ISBLANK(B198),"","A")),
     IF(B198="EE",IF(F198&gt;=3,IF(D198&gt;=5,"H","A"),
     IF(F198&gt;=2,IF(D198&gt;=16,"H",IF(D198&lt;=4,"L","A")),IF(D198&lt;=15,"L","A"))),
     IF(OR(B198="SE",B198="CE"),IF(F198&gt;=4,IF(D198&gt;=6,"H","A"),IF(F198&gt;=2,IF(D198&gt;=20,"H",IF(D198&lt;=5,"L","A")),IF(D198&lt;=19,"L","A"))),
     IF(OR(B198="ALI",B198="AIE"),IF(F198&gt;=6,IF(D198&gt;=20,"H","A"),IF(F198&gt;=2,IF(D198&gt;=51,"H",IF(D198&lt;=19,"L","A")),IF(D198&lt;=50,"L","A"))))))),
IF('Dados da OS'!$D$8=Parâmetros!$B$6,"Indicativa",
IF('Dados da OS'!$D$8=Parâmetros!$B$5,"PFS","")))</f>
        <v/>
      </c>
      <c r="M198" s="57">
        <f>IFERROR(VLOOKUP(C198,'Fatores de Impacto e INMs'!$A$3:$D$32,3,0),1)</f>
        <v>1</v>
      </c>
      <c r="N198" s="57">
        <f>IFERROR(VLOOKUP(C198,'Fatores de Impacto e INMs'!$A$3:$E$32,5,0),1)</f>
        <v>1</v>
      </c>
      <c r="O198" s="63" t="str">
        <f xml:space="preserve">
IF(OR('Dados da OS'!$D$8="Selecione o tipo da contagem",ISBLANK('Dados da OS'!$D$8),B198="INM",B198="N/A",ISBLANK(B198),ISBLANK(C198),N198="VF"),"-",
   IF('Dados da OS'!$D$8=Parâmetros!$B$3,
      IF(OR(ISBLANK(D198),ISBLANK(F198)),"-",
         IF(L198="L","Baixa",IF(L198="A","Média",IF(L198="H","Alta","-")))),
      IF('Dados da OS'!$D$8=Parâmetros!$B$4,
         IF(OR(B198="ALI",B198="AIE"),"Baixa",IF(OR(B198="EE",B198="SE",B198="CE"),"Média","-")),
         IF(OR('Dados da OS'!$D$8=Parâmetros!$B$5,'Dados da OS'!$D$8=Parâmetros!$B$6),"-"))))</f>
        <v>-</v>
      </c>
      <c r="P198" s="59" t="str">
        <f xml:space="preserve">
IF(OR(ISBLANK(B198),ISBLANK(C198),B198="N/A",ISBLANK('Dados da OS'!$D$8)),"",
   IF(OR('Dados da OS'!$D$8=Parâmetros!$B$3,'Dados da OS'!$D$8=Parâmetros!$B$4),
      IF(OR(AND(B198="INM",N198&lt;&gt;"VF"),AND(N198="VF",B198&lt;&gt;"INM")),"",
        IF(AND(B198="INM",N198="VF"),IF(ISBLANK(H198),"",M198*H198),
        IF('Dados da OS'!$D$8=Parâmetros!$B$4,
           IF(OR(B198="CE",B198="EE"),4,IF(B198="SE",5,IF(B198="ALI",7,IF(B198="AIE",5,"")))),
        IF('Dados da OS'!$D$8=Parâmetros!$B$3,
           IF(OR(ISBLANK(D198),ISBLANK(F198)),"",
              IF(B198="ALI",IF(L198="L",7,IF(L198="A",10,15)),
                 IF(B198="AIE",IF(L198="L",5,IF(L198="A",7,10)),
                    IF(B198="SE",IF(L198="L",4,IF(L198="A",5,7)),
                       IF(OR(B198="EE",B198="CE"),IF(L198="L",3,IF(L198="A",4,6)),""))))))))),
   IF('Dados da OS'!$D$8=Parâmetros!$B$5,
      IF(OR(AND(B198="INM",N198&lt;&gt;"VF"),AND(N198="VF",B198&lt;&gt;"INM")),"",
         IF(B198="INM",IF(N198="VF",M198*H198,""),
            IF(B198="PE",4.6,
            IF(B198="AL",7,"")))),
   IF('Dados da OS'!$D$8=Parâmetros!$B$6,
      IF(B198="ALI",35,IF(B198="AIE",15,"")),""))
    )
)</f>
        <v/>
      </c>
      <c r="Q198" s="60" t="str">
        <f t="shared" si="25"/>
        <v/>
      </c>
      <c r="R198" s="61"/>
      <c r="S198" s="62"/>
      <c r="T198" s="80" t="s">
        <v>21</v>
      </c>
      <c r="U198" s="81"/>
      <c r="V198" s="99"/>
      <c r="W198" s="55"/>
      <c r="X198" s="55"/>
      <c r="Y198" s="56"/>
      <c r="Z198" s="55"/>
      <c r="AA198" s="56"/>
      <c r="AB198" s="55"/>
      <c r="AC198" s="57" t="str">
        <f t="shared" si="26"/>
        <v/>
      </c>
      <c r="AD198" s="57" t="str">
        <f t="shared" si="27"/>
        <v/>
      </c>
      <c r="AE198" s="57" t="str">
        <f xml:space="preserve">
IF(OR('Dados da OS'!$D$8=Parâmetros!$B$3,'Dados da OS'!$D$8=Parâmetros!$B$4),
  IF(OR(ISBLANK(X198),ISBLANK(Z198)),
     IF(OR(V198="ALI",V198="AIE"),"L",IF(ISBLANK(V198),"","A")),
     IF(V198="EE",IF(Z198&gt;=3,IF(X198&gt;=5,"H","A"),
     IF(Z198&gt;=2,IF(X198&gt;=16,"H",IF(X198&lt;=4,"L","A")),IF(X198&lt;=15,"L","A"))),
     IF(OR(V198="SE",V198="CE"),IF(Z198&gt;=4,IF(X198&gt;=6,"H","A"),IF(Z198&gt;=2,IF(X198&gt;=20,"H",IF(X198&lt;=5,"L","A")),IF(X198&lt;=19,"L","A"))),
     IF(OR(V198="ALI",V198="AIE"),IF(Z198&gt;=6,IF(X198&gt;=20,"H","A"),IF(Z198&gt;=2,IF(X198&gt;=51,"H",IF(X198&lt;=19,"L","A")),IF(X198&lt;=50,"L","A"))))))),
IF('Dados da OS'!$D$8=Parâmetros!$B$6,"Indicativa",
IF('Dados da OS'!$D$8=Parâmetros!$B$5,"PFS","")))</f>
        <v/>
      </c>
      <c r="AF198" s="57">
        <f>IFERROR(VLOOKUP(W198,'Fatores de Impacto e INMs'!$A$3:$D$32,3,0),1)</f>
        <v>1</v>
      </c>
      <c r="AG198" s="57">
        <f>IFERROR(VLOOKUP(W198,'Fatores de Impacto e INMs'!$A$3:$E$32,5,0),1)</f>
        <v>1</v>
      </c>
      <c r="AH198" s="82" t="str">
        <f xml:space="preserve">
IF(OR('Dados da OS'!$D$8="Selecione o tipo da contagem",ISBLANK('Dados da OS'!$D$8),V198="INM",V198="N/A",ISBLANK(V198),ISBLANK(W198),AG198="VF"),"-",
   IF('Dados da OS'!$D$8=Parâmetros!$B$3,
      IF(OR(ISBLANK(X198),ISBLANK(Z198)),"-",
         IF(AE198="L","Baixa",IF(AE198="A","Média",IF(AE198="H","Alta","-")))),
      IF('Dados da OS'!$D$8=Parâmetros!$B$4,
         IF(OR(V198="ALI",V198="AIE"),"Baixa",IF(OR(V198="EE",V198="SE",V198="CE"),"Média","-")),
         IF(OR('Dados da OS'!$D$8=Parâmetros!$B$5,'Dados da OS'!$D$8=Parâmetros!$B$6),"-"))))</f>
        <v>-</v>
      </c>
      <c r="AI198" s="83" t="str">
        <f xml:space="preserve">
IF(OR(ISBLANK(V198),ISBLANK(U198),ISBLANK(W198),V198="N/A",ISBLANK('Dados da OS'!$D$8)),"",
   IF(OR('Dados da OS'!$D$8=Parâmetros!$B$3,'Dados da OS'!$D$8=Parâmetros!$B$4),
      IF(OR(AND(V198="INM",AG198&lt;&gt;"VF"),AND(AG198="VF",V198&lt;&gt;"INM")),"",
        IF(AND(V198="INM",AG198="VF"),IF(ISBLANK(AB198),"",AF198*AB198),
        IF('Dados da OS'!$D$8=Parâmetros!$B$4,
           IF(OR(V198="CE",V198="EE"),4,IF(V198="SE",5,IF(V198="ALI",7,IF(V198="AIE",5,"")))),
        IF('Dados da OS'!$D$8=Parâmetros!$B$3,
           IF(OR(ISBLANK(X198),ISBLANK(Z198)),"",
              IF(V198="ALI",IF(AE198="L",7,IF(AE198="A",10,15)),
                 IF(V198="AIE",IF(AE198="L",5,IF(AE198="A",7,10)),
                    IF(V198="SE",IF(AE198="L",4,IF(AE198="A",5,7)),
                       IF(OR(V198="EE",V198="CE"),IF(AE198="L",3,IF(AE198="A",4,6)),""))))))))),
   IF('Dados da OS'!$D$8=Parâmetros!$B$5,
      IF(OR(AND(V198="INM",AG198&lt;&gt;"VF"),AND(AG198="VF",V198&lt;&gt;"INM")),"",
         IF(V198="INM",IF(AG198="VF",AF198*AB198,""),
            IF(V198="PE",4.6,
            IF(V198="AL",7,"")))),
   IF('Dados da OS'!$D$8=Parâmetros!$B$6,
      IF(V198="ALI",35,IF(V198="AIE",15,"")),""))
    )
)</f>
        <v/>
      </c>
      <c r="AJ198" s="82" t="str">
        <f t="shared" si="28"/>
        <v/>
      </c>
      <c r="AK198" s="84"/>
      <c r="AL198" s="85" t="s">
        <v>21</v>
      </c>
      <c r="AM198" s="86"/>
      <c r="AN198" s="85"/>
      <c r="AO198" s="87"/>
      <c r="AP198" s="85"/>
      <c r="AQ198" s="86"/>
      <c r="AR198" s="85"/>
    </row>
    <row r="199" spans="1:44" ht="15.75" customHeight="1">
      <c r="A199" s="54"/>
      <c r="B199" s="100"/>
      <c r="C199" s="55"/>
      <c r="D199" s="55"/>
      <c r="E199" s="56"/>
      <c r="F199" s="55"/>
      <c r="G199" s="56"/>
      <c r="H199" s="55"/>
      <c r="I199" s="64"/>
      <c r="J199" s="57" t="str">
        <f t="shared" si="23"/>
        <v/>
      </c>
      <c r="K199" s="57" t="str">
        <f t="shared" si="24"/>
        <v/>
      </c>
      <c r="L199" s="57" t="str">
        <f xml:space="preserve">
IF(OR('Dados da OS'!$D$8=Parâmetros!$B$3,'Dados da OS'!$D$8=Parâmetros!$B$4),
  IF(OR(ISBLANK(D199),ISBLANK(F199)),
     IF(OR(B199="ALI",B199="AIE"),"L",IF(ISBLANK(B199),"","A")),
     IF(B199="EE",IF(F199&gt;=3,IF(D199&gt;=5,"H","A"),
     IF(F199&gt;=2,IF(D199&gt;=16,"H",IF(D199&lt;=4,"L","A")),IF(D199&lt;=15,"L","A"))),
     IF(OR(B199="SE",B199="CE"),IF(F199&gt;=4,IF(D199&gt;=6,"H","A"),IF(F199&gt;=2,IF(D199&gt;=20,"H",IF(D199&lt;=5,"L","A")),IF(D199&lt;=19,"L","A"))),
     IF(OR(B199="ALI",B199="AIE"),IF(F199&gt;=6,IF(D199&gt;=20,"H","A"),IF(F199&gt;=2,IF(D199&gt;=51,"H",IF(D199&lt;=19,"L","A")),IF(D199&lt;=50,"L","A"))))))),
IF('Dados da OS'!$D$8=Parâmetros!$B$6,"Indicativa",
IF('Dados da OS'!$D$8=Parâmetros!$B$5,"PFS","")))</f>
        <v/>
      </c>
      <c r="M199" s="57">
        <f>IFERROR(VLOOKUP(C199,'Fatores de Impacto e INMs'!$A$3:$D$32,3,0),1)</f>
        <v>1</v>
      </c>
      <c r="N199" s="57">
        <f>IFERROR(VLOOKUP(C199,'Fatores de Impacto e INMs'!$A$3:$E$32,5,0),1)</f>
        <v>1</v>
      </c>
      <c r="O199" s="63" t="str">
        <f xml:space="preserve">
IF(OR('Dados da OS'!$D$8="Selecione o tipo da contagem",ISBLANK('Dados da OS'!$D$8),B199="INM",B199="N/A",ISBLANK(B199),ISBLANK(C199),N199="VF"),"-",
   IF('Dados da OS'!$D$8=Parâmetros!$B$3,
      IF(OR(ISBLANK(D199),ISBLANK(F199)),"-",
         IF(L199="L","Baixa",IF(L199="A","Média",IF(L199="H","Alta","-")))),
      IF('Dados da OS'!$D$8=Parâmetros!$B$4,
         IF(OR(B199="ALI",B199="AIE"),"Baixa",IF(OR(B199="EE",B199="SE",B199="CE"),"Média","-")),
         IF(OR('Dados da OS'!$D$8=Parâmetros!$B$5,'Dados da OS'!$D$8=Parâmetros!$B$6),"-"))))</f>
        <v>-</v>
      </c>
      <c r="P199" s="59" t="str">
        <f xml:space="preserve">
IF(OR(ISBLANK(B199),ISBLANK(C199),B199="N/A",ISBLANK('Dados da OS'!$D$8)),"",
   IF(OR('Dados da OS'!$D$8=Parâmetros!$B$3,'Dados da OS'!$D$8=Parâmetros!$B$4),
      IF(OR(AND(B199="INM",N199&lt;&gt;"VF"),AND(N199="VF",B199&lt;&gt;"INM")),"",
        IF(AND(B199="INM",N199="VF"),IF(ISBLANK(H199),"",M199*H199),
        IF('Dados da OS'!$D$8=Parâmetros!$B$4,
           IF(OR(B199="CE",B199="EE"),4,IF(B199="SE",5,IF(B199="ALI",7,IF(B199="AIE",5,"")))),
        IF('Dados da OS'!$D$8=Parâmetros!$B$3,
           IF(OR(ISBLANK(D199),ISBLANK(F199)),"",
              IF(B199="ALI",IF(L199="L",7,IF(L199="A",10,15)),
                 IF(B199="AIE",IF(L199="L",5,IF(L199="A",7,10)),
                    IF(B199="SE",IF(L199="L",4,IF(L199="A",5,7)),
                       IF(OR(B199="EE",B199="CE"),IF(L199="L",3,IF(L199="A",4,6)),""))))))))),
   IF('Dados da OS'!$D$8=Parâmetros!$B$5,
      IF(OR(AND(B199="INM",N199&lt;&gt;"VF"),AND(N199="VF",B199&lt;&gt;"INM")),"",
         IF(B199="INM",IF(N199="VF",M199*H199,""),
            IF(B199="PE",4.6,
            IF(B199="AL",7,"")))),
   IF('Dados da OS'!$D$8=Parâmetros!$B$6,
      IF(B199="ALI",35,IF(B199="AIE",15,"")),""))
    )
)</f>
        <v/>
      </c>
      <c r="Q199" s="60" t="str">
        <f t="shared" si="25"/>
        <v/>
      </c>
      <c r="R199" s="61"/>
      <c r="S199" s="62"/>
      <c r="T199" s="80" t="s">
        <v>21</v>
      </c>
      <c r="U199" s="81"/>
      <c r="V199" s="99"/>
      <c r="W199" s="55"/>
      <c r="X199" s="55"/>
      <c r="Y199" s="56"/>
      <c r="Z199" s="55"/>
      <c r="AA199" s="56"/>
      <c r="AB199" s="55"/>
      <c r="AC199" s="57" t="str">
        <f t="shared" si="26"/>
        <v/>
      </c>
      <c r="AD199" s="57" t="str">
        <f t="shared" si="27"/>
        <v/>
      </c>
      <c r="AE199" s="57" t="str">
        <f xml:space="preserve">
IF(OR('Dados da OS'!$D$8=Parâmetros!$B$3,'Dados da OS'!$D$8=Parâmetros!$B$4),
  IF(OR(ISBLANK(X199),ISBLANK(Z199)),
     IF(OR(V199="ALI",V199="AIE"),"L",IF(ISBLANK(V199),"","A")),
     IF(V199="EE",IF(Z199&gt;=3,IF(X199&gt;=5,"H","A"),
     IF(Z199&gt;=2,IF(X199&gt;=16,"H",IF(X199&lt;=4,"L","A")),IF(X199&lt;=15,"L","A"))),
     IF(OR(V199="SE",V199="CE"),IF(Z199&gt;=4,IF(X199&gt;=6,"H","A"),IF(Z199&gt;=2,IF(X199&gt;=20,"H",IF(X199&lt;=5,"L","A")),IF(X199&lt;=19,"L","A"))),
     IF(OR(V199="ALI",V199="AIE"),IF(Z199&gt;=6,IF(X199&gt;=20,"H","A"),IF(Z199&gt;=2,IF(X199&gt;=51,"H",IF(X199&lt;=19,"L","A")),IF(X199&lt;=50,"L","A"))))))),
IF('Dados da OS'!$D$8=Parâmetros!$B$6,"Indicativa",
IF('Dados da OS'!$D$8=Parâmetros!$B$5,"PFS","")))</f>
        <v/>
      </c>
      <c r="AF199" s="57">
        <f>IFERROR(VLOOKUP(W199,'Fatores de Impacto e INMs'!$A$3:$D$32,3,0),1)</f>
        <v>1</v>
      </c>
      <c r="AG199" s="57">
        <f>IFERROR(VLOOKUP(W199,'Fatores de Impacto e INMs'!$A$3:$E$32,5,0),1)</f>
        <v>1</v>
      </c>
      <c r="AH199" s="82" t="str">
        <f xml:space="preserve">
IF(OR('Dados da OS'!$D$8="Selecione o tipo da contagem",ISBLANK('Dados da OS'!$D$8),V199="INM",V199="N/A",ISBLANK(V199),ISBLANK(W199),AG199="VF"),"-",
   IF('Dados da OS'!$D$8=Parâmetros!$B$3,
      IF(OR(ISBLANK(X199),ISBLANK(Z199)),"-",
         IF(AE199="L","Baixa",IF(AE199="A","Média",IF(AE199="H","Alta","-")))),
      IF('Dados da OS'!$D$8=Parâmetros!$B$4,
         IF(OR(V199="ALI",V199="AIE"),"Baixa",IF(OR(V199="EE",V199="SE",V199="CE"),"Média","-")),
         IF(OR('Dados da OS'!$D$8=Parâmetros!$B$5,'Dados da OS'!$D$8=Parâmetros!$B$6),"-"))))</f>
        <v>-</v>
      </c>
      <c r="AI199" s="83" t="str">
        <f xml:space="preserve">
IF(OR(ISBLANK(V199),ISBLANK(U199),ISBLANK(W199),V199="N/A",ISBLANK('Dados da OS'!$D$8)),"",
   IF(OR('Dados da OS'!$D$8=Parâmetros!$B$3,'Dados da OS'!$D$8=Parâmetros!$B$4),
      IF(OR(AND(V199="INM",AG199&lt;&gt;"VF"),AND(AG199="VF",V199&lt;&gt;"INM")),"",
        IF(AND(V199="INM",AG199="VF"),IF(ISBLANK(AB199),"",AF199*AB199),
        IF('Dados da OS'!$D$8=Parâmetros!$B$4,
           IF(OR(V199="CE",V199="EE"),4,IF(V199="SE",5,IF(V199="ALI",7,IF(V199="AIE",5,"")))),
        IF('Dados da OS'!$D$8=Parâmetros!$B$3,
           IF(OR(ISBLANK(X199),ISBLANK(Z199)),"",
              IF(V199="ALI",IF(AE199="L",7,IF(AE199="A",10,15)),
                 IF(V199="AIE",IF(AE199="L",5,IF(AE199="A",7,10)),
                    IF(V199="SE",IF(AE199="L",4,IF(AE199="A",5,7)),
                       IF(OR(V199="EE",V199="CE"),IF(AE199="L",3,IF(AE199="A",4,6)),""))))))))),
   IF('Dados da OS'!$D$8=Parâmetros!$B$5,
      IF(OR(AND(V199="INM",AG199&lt;&gt;"VF"),AND(AG199="VF",V199&lt;&gt;"INM")),"",
         IF(V199="INM",IF(AG199="VF",AF199*AB199,""),
            IF(V199="PE",4.6,
            IF(V199="AL",7,"")))),
   IF('Dados da OS'!$D$8=Parâmetros!$B$6,
      IF(V199="ALI",35,IF(V199="AIE",15,"")),""))
    )
)</f>
        <v/>
      </c>
      <c r="AJ199" s="82" t="str">
        <f t="shared" si="28"/>
        <v/>
      </c>
      <c r="AK199" s="84"/>
      <c r="AL199" s="85" t="s">
        <v>21</v>
      </c>
      <c r="AM199" s="86"/>
      <c r="AN199" s="85"/>
      <c r="AO199" s="87"/>
      <c r="AP199" s="85"/>
      <c r="AQ199" s="86"/>
      <c r="AR199" s="85"/>
    </row>
    <row r="200" spans="1:44" ht="15.75" customHeight="1">
      <c r="A200" s="54"/>
      <c r="B200" s="100"/>
      <c r="C200" s="55"/>
      <c r="D200" s="55"/>
      <c r="E200" s="56"/>
      <c r="F200" s="55"/>
      <c r="G200" s="56"/>
      <c r="H200" s="55"/>
      <c r="I200" s="64"/>
      <c r="J200" s="57" t="str">
        <f t="shared" si="23"/>
        <v/>
      </c>
      <c r="K200" s="57" t="str">
        <f t="shared" si="24"/>
        <v/>
      </c>
      <c r="L200" s="57" t="str">
        <f xml:space="preserve">
IF(OR('Dados da OS'!$D$8=Parâmetros!$B$3,'Dados da OS'!$D$8=Parâmetros!$B$4),
  IF(OR(ISBLANK(D200),ISBLANK(F200)),
     IF(OR(B200="ALI",B200="AIE"),"L",IF(ISBLANK(B200),"","A")),
     IF(B200="EE",IF(F200&gt;=3,IF(D200&gt;=5,"H","A"),
     IF(F200&gt;=2,IF(D200&gt;=16,"H",IF(D200&lt;=4,"L","A")),IF(D200&lt;=15,"L","A"))),
     IF(OR(B200="SE",B200="CE"),IF(F200&gt;=4,IF(D200&gt;=6,"H","A"),IF(F200&gt;=2,IF(D200&gt;=20,"H",IF(D200&lt;=5,"L","A")),IF(D200&lt;=19,"L","A"))),
     IF(OR(B200="ALI",B200="AIE"),IF(F200&gt;=6,IF(D200&gt;=20,"H","A"),IF(F200&gt;=2,IF(D200&gt;=51,"H",IF(D200&lt;=19,"L","A")),IF(D200&lt;=50,"L","A"))))))),
IF('Dados da OS'!$D$8=Parâmetros!$B$6,"Indicativa",
IF('Dados da OS'!$D$8=Parâmetros!$B$5,"PFS","")))</f>
        <v/>
      </c>
      <c r="M200" s="57">
        <f>IFERROR(VLOOKUP(C200,'Fatores de Impacto e INMs'!$A$3:$D$32,3,0),1)</f>
        <v>1</v>
      </c>
      <c r="N200" s="57">
        <f>IFERROR(VLOOKUP(C200,'Fatores de Impacto e INMs'!$A$3:$E$32,5,0),1)</f>
        <v>1</v>
      </c>
      <c r="O200" s="63" t="str">
        <f xml:space="preserve">
IF(OR('Dados da OS'!$D$8="Selecione o tipo da contagem",ISBLANK('Dados da OS'!$D$8),B200="INM",B200="N/A",ISBLANK(B200),ISBLANK(C200),N200="VF"),"-",
   IF('Dados da OS'!$D$8=Parâmetros!$B$3,
      IF(OR(ISBLANK(D200),ISBLANK(F200)),"-",
         IF(L200="L","Baixa",IF(L200="A","Média",IF(L200="H","Alta","-")))),
      IF('Dados da OS'!$D$8=Parâmetros!$B$4,
         IF(OR(B200="ALI",B200="AIE"),"Baixa",IF(OR(B200="EE",B200="SE",B200="CE"),"Média","-")),
         IF(OR('Dados da OS'!$D$8=Parâmetros!$B$5,'Dados da OS'!$D$8=Parâmetros!$B$6),"-"))))</f>
        <v>-</v>
      </c>
      <c r="P200" s="59" t="str">
        <f xml:space="preserve">
IF(OR(ISBLANK(B200),ISBLANK(C200),B200="N/A",ISBLANK('Dados da OS'!$D$8)),"",
   IF(OR('Dados da OS'!$D$8=Parâmetros!$B$3,'Dados da OS'!$D$8=Parâmetros!$B$4),
      IF(OR(AND(B200="INM",N200&lt;&gt;"VF"),AND(N200="VF",B200&lt;&gt;"INM")),"",
        IF(AND(B200="INM",N200="VF"),IF(ISBLANK(H200),"",M200*H200),
        IF('Dados da OS'!$D$8=Parâmetros!$B$4,
           IF(OR(B200="CE",B200="EE"),4,IF(B200="SE",5,IF(B200="ALI",7,IF(B200="AIE",5,"")))),
        IF('Dados da OS'!$D$8=Parâmetros!$B$3,
           IF(OR(ISBLANK(D200),ISBLANK(F200)),"",
              IF(B200="ALI",IF(L200="L",7,IF(L200="A",10,15)),
                 IF(B200="AIE",IF(L200="L",5,IF(L200="A",7,10)),
                    IF(B200="SE",IF(L200="L",4,IF(L200="A",5,7)),
                       IF(OR(B200="EE",B200="CE"),IF(L200="L",3,IF(L200="A",4,6)),""))))))))),
   IF('Dados da OS'!$D$8=Parâmetros!$B$5,
      IF(OR(AND(B200="INM",N200&lt;&gt;"VF"),AND(N200="VF",B200&lt;&gt;"INM")),"",
         IF(B200="INM",IF(N200="VF",M200*H200,""),
            IF(B200="PE",4.6,
            IF(B200="AL",7,"")))),
   IF('Dados da OS'!$D$8=Parâmetros!$B$6,
      IF(B200="ALI",35,IF(B200="AIE",15,"")),""))
    )
)</f>
        <v/>
      </c>
      <c r="Q200" s="60" t="str">
        <f t="shared" si="25"/>
        <v/>
      </c>
      <c r="R200" s="61"/>
      <c r="S200" s="62"/>
      <c r="T200" s="80" t="s">
        <v>21</v>
      </c>
      <c r="U200" s="81"/>
      <c r="V200" s="99"/>
      <c r="W200" s="55"/>
      <c r="X200" s="55"/>
      <c r="Y200" s="56"/>
      <c r="Z200" s="55"/>
      <c r="AA200" s="56"/>
      <c r="AB200" s="55"/>
      <c r="AC200" s="57" t="str">
        <f t="shared" si="26"/>
        <v/>
      </c>
      <c r="AD200" s="57" t="str">
        <f t="shared" si="27"/>
        <v/>
      </c>
      <c r="AE200" s="57" t="str">
        <f xml:space="preserve">
IF(OR('Dados da OS'!$D$8=Parâmetros!$B$3,'Dados da OS'!$D$8=Parâmetros!$B$4),
  IF(OR(ISBLANK(X200),ISBLANK(Z200)),
     IF(OR(V200="ALI",V200="AIE"),"L",IF(ISBLANK(V200),"","A")),
     IF(V200="EE",IF(Z200&gt;=3,IF(X200&gt;=5,"H","A"),
     IF(Z200&gt;=2,IF(X200&gt;=16,"H",IF(X200&lt;=4,"L","A")),IF(X200&lt;=15,"L","A"))),
     IF(OR(V200="SE",V200="CE"),IF(Z200&gt;=4,IF(X200&gt;=6,"H","A"),IF(Z200&gt;=2,IF(X200&gt;=20,"H",IF(X200&lt;=5,"L","A")),IF(X200&lt;=19,"L","A"))),
     IF(OR(V200="ALI",V200="AIE"),IF(Z200&gt;=6,IF(X200&gt;=20,"H","A"),IF(Z200&gt;=2,IF(X200&gt;=51,"H",IF(X200&lt;=19,"L","A")),IF(X200&lt;=50,"L","A"))))))),
IF('Dados da OS'!$D$8=Parâmetros!$B$6,"Indicativa",
IF('Dados da OS'!$D$8=Parâmetros!$B$5,"PFS","")))</f>
        <v/>
      </c>
      <c r="AF200" s="57">
        <f>IFERROR(VLOOKUP(W200,'Fatores de Impacto e INMs'!$A$3:$D$32,3,0),1)</f>
        <v>1</v>
      </c>
      <c r="AG200" s="57">
        <f>IFERROR(VLOOKUP(W200,'Fatores de Impacto e INMs'!$A$3:$E$32,5,0),1)</f>
        <v>1</v>
      </c>
      <c r="AH200" s="82" t="str">
        <f xml:space="preserve">
IF(OR('Dados da OS'!$D$8="Selecione o tipo da contagem",ISBLANK('Dados da OS'!$D$8),V200="INM",V200="N/A",ISBLANK(V200),ISBLANK(W200),AG200="VF"),"-",
   IF('Dados da OS'!$D$8=Parâmetros!$B$3,
      IF(OR(ISBLANK(X200),ISBLANK(Z200)),"-",
         IF(AE200="L","Baixa",IF(AE200="A","Média",IF(AE200="H","Alta","-")))),
      IF('Dados da OS'!$D$8=Parâmetros!$B$4,
         IF(OR(V200="ALI",V200="AIE"),"Baixa",IF(OR(V200="EE",V200="SE",V200="CE"),"Média","-")),
         IF(OR('Dados da OS'!$D$8=Parâmetros!$B$5,'Dados da OS'!$D$8=Parâmetros!$B$6),"-"))))</f>
        <v>-</v>
      </c>
      <c r="AI200" s="83" t="str">
        <f xml:space="preserve">
IF(OR(ISBLANK(V200),ISBLANK(U200),ISBLANK(W200),V200="N/A",ISBLANK('Dados da OS'!$D$8)),"",
   IF(OR('Dados da OS'!$D$8=Parâmetros!$B$3,'Dados da OS'!$D$8=Parâmetros!$B$4),
      IF(OR(AND(V200="INM",AG200&lt;&gt;"VF"),AND(AG200="VF",V200&lt;&gt;"INM")),"",
        IF(AND(V200="INM",AG200="VF"),IF(ISBLANK(AB200),"",AF200*AB200),
        IF('Dados da OS'!$D$8=Parâmetros!$B$4,
           IF(OR(V200="CE",V200="EE"),4,IF(V200="SE",5,IF(V200="ALI",7,IF(V200="AIE",5,"")))),
        IF('Dados da OS'!$D$8=Parâmetros!$B$3,
           IF(OR(ISBLANK(X200),ISBLANK(Z200)),"",
              IF(V200="ALI",IF(AE200="L",7,IF(AE200="A",10,15)),
                 IF(V200="AIE",IF(AE200="L",5,IF(AE200="A",7,10)),
                    IF(V200="SE",IF(AE200="L",4,IF(AE200="A",5,7)),
                       IF(OR(V200="EE",V200="CE"),IF(AE200="L",3,IF(AE200="A",4,6)),""))))))))),
   IF('Dados da OS'!$D$8=Parâmetros!$B$5,
      IF(OR(AND(V200="INM",AG200&lt;&gt;"VF"),AND(AG200="VF",V200&lt;&gt;"INM")),"",
         IF(V200="INM",IF(AG200="VF",AF200*AB200,""),
            IF(V200="PE",4.6,
            IF(V200="AL",7,"")))),
   IF('Dados da OS'!$D$8=Parâmetros!$B$6,
      IF(V200="ALI",35,IF(V200="AIE",15,"")),""))
    )
)</f>
        <v/>
      </c>
      <c r="AJ200" s="82" t="str">
        <f t="shared" si="28"/>
        <v/>
      </c>
      <c r="AK200" s="84"/>
      <c r="AL200" s="85" t="s">
        <v>21</v>
      </c>
      <c r="AM200" s="86"/>
      <c r="AN200" s="85"/>
      <c r="AO200" s="87"/>
      <c r="AP200" s="85"/>
      <c r="AQ200" s="86"/>
      <c r="AR200" s="85"/>
    </row>
    <row r="201" spans="1:44" ht="15.75" customHeight="1">
      <c r="A201" s="54"/>
      <c r="B201" s="100"/>
      <c r="C201" s="55"/>
      <c r="D201" s="55"/>
      <c r="E201" s="56"/>
      <c r="F201" s="55"/>
      <c r="G201" s="56"/>
      <c r="H201" s="55"/>
      <c r="I201" s="64"/>
      <c r="J201" s="57" t="str">
        <f t="shared" si="23"/>
        <v/>
      </c>
      <c r="K201" s="57" t="str">
        <f t="shared" si="24"/>
        <v/>
      </c>
      <c r="L201" s="57" t="str">
        <f xml:space="preserve">
IF(OR('Dados da OS'!$D$8=Parâmetros!$B$3,'Dados da OS'!$D$8=Parâmetros!$B$4),
  IF(OR(ISBLANK(D201),ISBLANK(F201)),
     IF(OR(B201="ALI",B201="AIE"),"L",IF(ISBLANK(B201),"","A")),
     IF(B201="EE",IF(F201&gt;=3,IF(D201&gt;=5,"H","A"),
     IF(F201&gt;=2,IF(D201&gt;=16,"H",IF(D201&lt;=4,"L","A")),IF(D201&lt;=15,"L","A"))),
     IF(OR(B201="SE",B201="CE"),IF(F201&gt;=4,IF(D201&gt;=6,"H","A"),IF(F201&gt;=2,IF(D201&gt;=20,"H",IF(D201&lt;=5,"L","A")),IF(D201&lt;=19,"L","A"))),
     IF(OR(B201="ALI",B201="AIE"),IF(F201&gt;=6,IF(D201&gt;=20,"H","A"),IF(F201&gt;=2,IF(D201&gt;=51,"H",IF(D201&lt;=19,"L","A")),IF(D201&lt;=50,"L","A"))))))),
IF('Dados da OS'!$D$8=Parâmetros!$B$6,"Indicativa",
IF('Dados da OS'!$D$8=Parâmetros!$B$5,"PFS","")))</f>
        <v/>
      </c>
      <c r="M201" s="57">
        <f>IFERROR(VLOOKUP(C201,'Fatores de Impacto e INMs'!$A$3:$D$32,3,0),1)</f>
        <v>1</v>
      </c>
      <c r="N201" s="57">
        <f>IFERROR(VLOOKUP(C201,'Fatores de Impacto e INMs'!$A$3:$E$32,5,0),1)</f>
        <v>1</v>
      </c>
      <c r="O201" s="63" t="str">
        <f xml:space="preserve">
IF(OR('Dados da OS'!$D$8="Selecione o tipo da contagem",ISBLANK('Dados da OS'!$D$8),B201="INM",B201="N/A",ISBLANK(B201),ISBLANK(C201),N201="VF"),"-",
   IF('Dados da OS'!$D$8=Parâmetros!$B$3,
      IF(OR(ISBLANK(D201),ISBLANK(F201)),"-",
         IF(L201="L","Baixa",IF(L201="A","Média",IF(L201="H","Alta","-")))),
      IF('Dados da OS'!$D$8=Parâmetros!$B$4,
         IF(OR(B201="ALI",B201="AIE"),"Baixa",IF(OR(B201="EE",B201="SE",B201="CE"),"Média","-")),
         IF(OR('Dados da OS'!$D$8=Parâmetros!$B$5,'Dados da OS'!$D$8=Parâmetros!$B$6),"-"))))</f>
        <v>-</v>
      </c>
      <c r="P201" s="59" t="str">
        <f xml:space="preserve">
IF(OR(ISBLANK(B201),ISBLANK(C201),B201="N/A",ISBLANK('Dados da OS'!$D$8)),"",
   IF(OR('Dados da OS'!$D$8=Parâmetros!$B$3,'Dados da OS'!$D$8=Parâmetros!$B$4),
      IF(OR(AND(B201="INM",N201&lt;&gt;"VF"),AND(N201="VF",B201&lt;&gt;"INM")),"",
        IF(AND(B201="INM",N201="VF"),IF(ISBLANK(H201),"",M201*H201),
        IF('Dados da OS'!$D$8=Parâmetros!$B$4,
           IF(OR(B201="CE",B201="EE"),4,IF(B201="SE",5,IF(B201="ALI",7,IF(B201="AIE",5,"")))),
        IF('Dados da OS'!$D$8=Parâmetros!$B$3,
           IF(OR(ISBLANK(D201),ISBLANK(F201)),"",
              IF(B201="ALI",IF(L201="L",7,IF(L201="A",10,15)),
                 IF(B201="AIE",IF(L201="L",5,IF(L201="A",7,10)),
                    IF(B201="SE",IF(L201="L",4,IF(L201="A",5,7)),
                       IF(OR(B201="EE",B201="CE"),IF(L201="L",3,IF(L201="A",4,6)),""))))))))),
   IF('Dados da OS'!$D$8=Parâmetros!$B$5,
      IF(OR(AND(B201="INM",N201&lt;&gt;"VF"),AND(N201="VF",B201&lt;&gt;"INM")),"",
         IF(B201="INM",IF(N201="VF",M201*H201,""),
            IF(B201="PE",4.6,
            IF(B201="AL",7,"")))),
   IF('Dados da OS'!$D$8=Parâmetros!$B$6,
      IF(B201="ALI",35,IF(B201="AIE",15,"")),""))
    )
)</f>
        <v/>
      </c>
      <c r="Q201" s="60" t="str">
        <f t="shared" si="25"/>
        <v/>
      </c>
      <c r="R201" s="61"/>
      <c r="S201" s="62"/>
      <c r="T201" s="80" t="s">
        <v>21</v>
      </c>
      <c r="U201" s="81"/>
      <c r="V201" s="99"/>
      <c r="W201" s="55"/>
      <c r="X201" s="55"/>
      <c r="Y201" s="56"/>
      <c r="Z201" s="55"/>
      <c r="AA201" s="56"/>
      <c r="AB201" s="55"/>
      <c r="AC201" s="57" t="str">
        <f t="shared" si="26"/>
        <v/>
      </c>
      <c r="AD201" s="57" t="str">
        <f t="shared" si="27"/>
        <v/>
      </c>
      <c r="AE201" s="57" t="str">
        <f xml:space="preserve">
IF(OR('Dados da OS'!$D$8=Parâmetros!$B$3,'Dados da OS'!$D$8=Parâmetros!$B$4),
  IF(OR(ISBLANK(X201),ISBLANK(Z201)),
     IF(OR(V201="ALI",V201="AIE"),"L",IF(ISBLANK(V201),"","A")),
     IF(V201="EE",IF(Z201&gt;=3,IF(X201&gt;=5,"H","A"),
     IF(Z201&gt;=2,IF(X201&gt;=16,"H",IF(X201&lt;=4,"L","A")),IF(X201&lt;=15,"L","A"))),
     IF(OR(V201="SE",V201="CE"),IF(Z201&gt;=4,IF(X201&gt;=6,"H","A"),IF(Z201&gt;=2,IF(X201&gt;=20,"H",IF(X201&lt;=5,"L","A")),IF(X201&lt;=19,"L","A"))),
     IF(OR(V201="ALI",V201="AIE"),IF(Z201&gt;=6,IF(X201&gt;=20,"H","A"),IF(Z201&gt;=2,IF(X201&gt;=51,"H",IF(X201&lt;=19,"L","A")),IF(X201&lt;=50,"L","A"))))))),
IF('Dados da OS'!$D$8=Parâmetros!$B$6,"Indicativa",
IF('Dados da OS'!$D$8=Parâmetros!$B$5,"PFS","")))</f>
        <v/>
      </c>
      <c r="AF201" s="57">
        <f>IFERROR(VLOOKUP(W201,'Fatores de Impacto e INMs'!$A$3:$D$32,3,0),1)</f>
        <v>1</v>
      </c>
      <c r="AG201" s="57">
        <f>IFERROR(VLOOKUP(W201,'Fatores de Impacto e INMs'!$A$3:$E$32,5,0),1)</f>
        <v>1</v>
      </c>
      <c r="AH201" s="82" t="str">
        <f xml:space="preserve">
IF(OR('Dados da OS'!$D$8="Selecione o tipo da contagem",ISBLANK('Dados da OS'!$D$8),V201="INM",V201="N/A",ISBLANK(V201),ISBLANK(W201),AG201="VF"),"-",
   IF('Dados da OS'!$D$8=Parâmetros!$B$3,
      IF(OR(ISBLANK(X201),ISBLANK(Z201)),"-",
         IF(AE201="L","Baixa",IF(AE201="A","Média",IF(AE201="H","Alta","-")))),
      IF('Dados da OS'!$D$8=Parâmetros!$B$4,
         IF(OR(V201="ALI",V201="AIE"),"Baixa",IF(OR(V201="EE",V201="SE",V201="CE"),"Média","-")),
         IF(OR('Dados da OS'!$D$8=Parâmetros!$B$5,'Dados da OS'!$D$8=Parâmetros!$B$6),"-"))))</f>
        <v>-</v>
      </c>
      <c r="AI201" s="83" t="str">
        <f xml:space="preserve">
IF(OR(ISBLANK(V201),ISBLANK(U201),ISBLANK(W201),V201="N/A",ISBLANK('Dados da OS'!$D$8)),"",
   IF(OR('Dados da OS'!$D$8=Parâmetros!$B$3,'Dados da OS'!$D$8=Parâmetros!$B$4),
      IF(OR(AND(V201="INM",AG201&lt;&gt;"VF"),AND(AG201="VF",V201&lt;&gt;"INM")),"",
        IF(AND(V201="INM",AG201="VF"),IF(ISBLANK(AB201),"",AF201*AB201),
        IF('Dados da OS'!$D$8=Parâmetros!$B$4,
           IF(OR(V201="CE",V201="EE"),4,IF(V201="SE",5,IF(V201="ALI",7,IF(V201="AIE",5,"")))),
        IF('Dados da OS'!$D$8=Parâmetros!$B$3,
           IF(OR(ISBLANK(X201),ISBLANK(Z201)),"",
              IF(V201="ALI",IF(AE201="L",7,IF(AE201="A",10,15)),
                 IF(V201="AIE",IF(AE201="L",5,IF(AE201="A",7,10)),
                    IF(V201="SE",IF(AE201="L",4,IF(AE201="A",5,7)),
                       IF(OR(V201="EE",V201="CE"),IF(AE201="L",3,IF(AE201="A",4,6)),""))))))))),
   IF('Dados da OS'!$D$8=Parâmetros!$B$5,
      IF(OR(AND(V201="INM",AG201&lt;&gt;"VF"),AND(AG201="VF",V201&lt;&gt;"INM")),"",
         IF(V201="INM",IF(AG201="VF",AF201*AB201,""),
            IF(V201="PE",4.6,
            IF(V201="AL",7,"")))),
   IF('Dados da OS'!$D$8=Parâmetros!$B$6,
      IF(V201="ALI",35,IF(V201="AIE",15,"")),""))
    )
)</f>
        <v/>
      </c>
      <c r="AJ201" s="82" t="str">
        <f t="shared" si="28"/>
        <v/>
      </c>
      <c r="AK201" s="84"/>
      <c r="AL201" s="85" t="s">
        <v>21</v>
      </c>
      <c r="AM201" s="86"/>
      <c r="AN201" s="85"/>
      <c r="AO201" s="87"/>
      <c r="AP201" s="85"/>
      <c r="AQ201" s="86"/>
      <c r="AR201" s="85"/>
    </row>
    <row r="202" spans="1:44" ht="15.75" customHeight="1">
      <c r="A202" s="54"/>
      <c r="B202" s="100"/>
      <c r="C202" s="55"/>
      <c r="D202" s="55"/>
      <c r="E202" s="56"/>
      <c r="F202" s="55"/>
      <c r="G202" s="56"/>
      <c r="H202" s="55"/>
      <c r="I202" s="64"/>
      <c r="J202" s="57" t="str">
        <f t="shared" si="23"/>
        <v/>
      </c>
      <c r="K202" s="57" t="str">
        <f t="shared" si="24"/>
        <v/>
      </c>
      <c r="L202" s="57" t="str">
        <f xml:space="preserve">
IF(OR('Dados da OS'!$D$8=Parâmetros!$B$3,'Dados da OS'!$D$8=Parâmetros!$B$4),
  IF(OR(ISBLANK(D202),ISBLANK(F202)),
     IF(OR(B202="ALI",B202="AIE"),"L",IF(ISBLANK(B202),"","A")),
     IF(B202="EE",IF(F202&gt;=3,IF(D202&gt;=5,"H","A"),
     IF(F202&gt;=2,IF(D202&gt;=16,"H",IF(D202&lt;=4,"L","A")),IF(D202&lt;=15,"L","A"))),
     IF(OR(B202="SE",B202="CE"),IF(F202&gt;=4,IF(D202&gt;=6,"H","A"),IF(F202&gt;=2,IF(D202&gt;=20,"H",IF(D202&lt;=5,"L","A")),IF(D202&lt;=19,"L","A"))),
     IF(OR(B202="ALI",B202="AIE"),IF(F202&gt;=6,IF(D202&gt;=20,"H","A"),IF(F202&gt;=2,IF(D202&gt;=51,"H",IF(D202&lt;=19,"L","A")),IF(D202&lt;=50,"L","A"))))))),
IF('Dados da OS'!$D$8=Parâmetros!$B$6,"Indicativa",
IF('Dados da OS'!$D$8=Parâmetros!$B$5,"PFS","")))</f>
        <v/>
      </c>
      <c r="M202" s="57">
        <f>IFERROR(VLOOKUP(C202,'Fatores de Impacto e INMs'!$A$3:$D$32,3,0),1)</f>
        <v>1</v>
      </c>
      <c r="N202" s="57">
        <f>IFERROR(VLOOKUP(C202,'Fatores de Impacto e INMs'!$A$3:$E$32,5,0),1)</f>
        <v>1</v>
      </c>
      <c r="O202" s="63" t="str">
        <f xml:space="preserve">
IF(OR('Dados da OS'!$D$8="Selecione o tipo da contagem",ISBLANK('Dados da OS'!$D$8),B202="INM",B202="N/A",ISBLANK(B202),ISBLANK(C202),N202="VF"),"-",
   IF('Dados da OS'!$D$8=Parâmetros!$B$3,
      IF(OR(ISBLANK(D202),ISBLANK(F202)),"-",
         IF(L202="L","Baixa",IF(L202="A","Média",IF(L202="H","Alta","-")))),
      IF('Dados da OS'!$D$8=Parâmetros!$B$4,
         IF(OR(B202="ALI",B202="AIE"),"Baixa",IF(OR(B202="EE",B202="SE",B202="CE"),"Média","-")),
         IF(OR('Dados da OS'!$D$8=Parâmetros!$B$5,'Dados da OS'!$D$8=Parâmetros!$B$6),"-"))))</f>
        <v>-</v>
      </c>
      <c r="P202" s="59" t="str">
        <f xml:space="preserve">
IF(OR(ISBLANK(B202),ISBLANK(C202),B202="N/A",ISBLANK('Dados da OS'!$D$8)),"",
   IF(OR('Dados da OS'!$D$8=Parâmetros!$B$3,'Dados da OS'!$D$8=Parâmetros!$B$4),
      IF(OR(AND(B202="INM",N202&lt;&gt;"VF"),AND(N202="VF",B202&lt;&gt;"INM")),"",
        IF(AND(B202="INM",N202="VF"),IF(ISBLANK(H202),"",M202*H202),
        IF('Dados da OS'!$D$8=Parâmetros!$B$4,
           IF(OR(B202="CE",B202="EE"),4,IF(B202="SE",5,IF(B202="ALI",7,IF(B202="AIE",5,"")))),
        IF('Dados da OS'!$D$8=Parâmetros!$B$3,
           IF(OR(ISBLANK(D202),ISBLANK(F202)),"",
              IF(B202="ALI",IF(L202="L",7,IF(L202="A",10,15)),
                 IF(B202="AIE",IF(L202="L",5,IF(L202="A",7,10)),
                    IF(B202="SE",IF(L202="L",4,IF(L202="A",5,7)),
                       IF(OR(B202="EE",B202="CE"),IF(L202="L",3,IF(L202="A",4,6)),""))))))))),
   IF('Dados da OS'!$D$8=Parâmetros!$B$5,
      IF(OR(AND(B202="INM",N202&lt;&gt;"VF"),AND(N202="VF",B202&lt;&gt;"INM")),"",
         IF(B202="INM",IF(N202="VF",M202*H202,""),
            IF(B202="PE",4.6,
            IF(B202="AL",7,"")))),
   IF('Dados da OS'!$D$8=Parâmetros!$B$6,
      IF(B202="ALI",35,IF(B202="AIE",15,"")),""))
    )
)</f>
        <v/>
      </c>
      <c r="Q202" s="60" t="str">
        <f t="shared" si="25"/>
        <v/>
      </c>
      <c r="R202" s="61"/>
      <c r="S202" s="62"/>
      <c r="T202" s="80" t="s">
        <v>21</v>
      </c>
      <c r="U202" s="81"/>
      <c r="V202" s="99"/>
      <c r="W202" s="55"/>
      <c r="X202" s="55"/>
      <c r="Y202" s="56"/>
      <c r="Z202" s="55"/>
      <c r="AA202" s="56"/>
      <c r="AB202" s="55"/>
      <c r="AC202" s="57" t="str">
        <f t="shared" si="26"/>
        <v/>
      </c>
      <c r="AD202" s="57" t="str">
        <f t="shared" si="27"/>
        <v/>
      </c>
      <c r="AE202" s="57" t="str">
        <f xml:space="preserve">
IF(OR('Dados da OS'!$D$8=Parâmetros!$B$3,'Dados da OS'!$D$8=Parâmetros!$B$4),
  IF(OR(ISBLANK(X202),ISBLANK(Z202)),
     IF(OR(V202="ALI",V202="AIE"),"L",IF(ISBLANK(V202),"","A")),
     IF(V202="EE",IF(Z202&gt;=3,IF(X202&gt;=5,"H","A"),
     IF(Z202&gt;=2,IF(X202&gt;=16,"H",IF(X202&lt;=4,"L","A")),IF(X202&lt;=15,"L","A"))),
     IF(OR(V202="SE",V202="CE"),IF(Z202&gt;=4,IF(X202&gt;=6,"H","A"),IF(Z202&gt;=2,IF(X202&gt;=20,"H",IF(X202&lt;=5,"L","A")),IF(X202&lt;=19,"L","A"))),
     IF(OR(V202="ALI",V202="AIE"),IF(Z202&gt;=6,IF(X202&gt;=20,"H","A"),IF(Z202&gt;=2,IF(X202&gt;=51,"H",IF(X202&lt;=19,"L","A")),IF(X202&lt;=50,"L","A"))))))),
IF('Dados da OS'!$D$8=Parâmetros!$B$6,"Indicativa",
IF('Dados da OS'!$D$8=Parâmetros!$B$5,"PFS","")))</f>
        <v/>
      </c>
      <c r="AF202" s="57">
        <f>IFERROR(VLOOKUP(W202,'Fatores de Impacto e INMs'!$A$3:$D$32,3,0),1)</f>
        <v>1</v>
      </c>
      <c r="AG202" s="57">
        <f>IFERROR(VLOOKUP(W202,'Fatores de Impacto e INMs'!$A$3:$E$32,5,0),1)</f>
        <v>1</v>
      </c>
      <c r="AH202" s="82" t="str">
        <f xml:space="preserve">
IF(OR('Dados da OS'!$D$8="Selecione o tipo da contagem",ISBLANK('Dados da OS'!$D$8),V202="INM",V202="N/A",ISBLANK(V202),ISBLANK(W202),AG202="VF"),"-",
   IF('Dados da OS'!$D$8=Parâmetros!$B$3,
      IF(OR(ISBLANK(X202),ISBLANK(Z202)),"-",
         IF(AE202="L","Baixa",IF(AE202="A","Média",IF(AE202="H","Alta","-")))),
      IF('Dados da OS'!$D$8=Parâmetros!$B$4,
         IF(OR(V202="ALI",V202="AIE"),"Baixa",IF(OR(V202="EE",V202="SE",V202="CE"),"Média","-")),
         IF(OR('Dados da OS'!$D$8=Parâmetros!$B$5,'Dados da OS'!$D$8=Parâmetros!$B$6),"-"))))</f>
        <v>-</v>
      </c>
      <c r="AI202" s="83" t="str">
        <f xml:space="preserve">
IF(OR(ISBLANK(V202),ISBLANK(U202),ISBLANK(W202),V202="N/A",ISBLANK('Dados da OS'!$D$8)),"",
   IF(OR('Dados da OS'!$D$8=Parâmetros!$B$3,'Dados da OS'!$D$8=Parâmetros!$B$4),
      IF(OR(AND(V202="INM",AG202&lt;&gt;"VF"),AND(AG202="VF",V202&lt;&gt;"INM")),"",
        IF(AND(V202="INM",AG202="VF"),IF(ISBLANK(AB202),"",AF202*AB202),
        IF('Dados da OS'!$D$8=Parâmetros!$B$4,
           IF(OR(V202="CE",V202="EE"),4,IF(V202="SE",5,IF(V202="ALI",7,IF(V202="AIE",5,"")))),
        IF('Dados da OS'!$D$8=Parâmetros!$B$3,
           IF(OR(ISBLANK(X202),ISBLANK(Z202)),"",
              IF(V202="ALI",IF(AE202="L",7,IF(AE202="A",10,15)),
                 IF(V202="AIE",IF(AE202="L",5,IF(AE202="A",7,10)),
                    IF(V202="SE",IF(AE202="L",4,IF(AE202="A",5,7)),
                       IF(OR(V202="EE",V202="CE"),IF(AE202="L",3,IF(AE202="A",4,6)),""))))))))),
   IF('Dados da OS'!$D$8=Parâmetros!$B$5,
      IF(OR(AND(V202="INM",AG202&lt;&gt;"VF"),AND(AG202="VF",V202&lt;&gt;"INM")),"",
         IF(V202="INM",IF(AG202="VF",AF202*AB202,""),
            IF(V202="PE",4.6,
            IF(V202="AL",7,"")))),
   IF('Dados da OS'!$D$8=Parâmetros!$B$6,
      IF(V202="ALI",35,IF(V202="AIE",15,"")),""))
    )
)</f>
        <v/>
      </c>
      <c r="AJ202" s="82" t="str">
        <f t="shared" si="28"/>
        <v/>
      </c>
      <c r="AK202" s="84"/>
      <c r="AL202" s="85" t="s">
        <v>21</v>
      </c>
      <c r="AM202" s="86"/>
      <c r="AN202" s="85"/>
      <c r="AO202" s="87"/>
      <c r="AP202" s="85"/>
      <c r="AQ202" s="86"/>
      <c r="AR202" s="85"/>
    </row>
    <row r="203" spans="1:44" ht="15.75" customHeight="1">
      <c r="A203" s="54"/>
      <c r="B203" s="100"/>
      <c r="C203" s="55"/>
      <c r="D203" s="55"/>
      <c r="E203" s="56"/>
      <c r="F203" s="55"/>
      <c r="G203" s="56"/>
      <c r="H203" s="55"/>
      <c r="I203" s="64"/>
      <c r="J203" s="57" t="str">
        <f t="shared" si="23"/>
        <v/>
      </c>
      <c r="K203" s="57" t="str">
        <f t="shared" si="24"/>
        <v/>
      </c>
      <c r="L203" s="57" t="str">
        <f xml:space="preserve">
IF(OR('Dados da OS'!$D$8=Parâmetros!$B$3,'Dados da OS'!$D$8=Parâmetros!$B$4),
  IF(OR(ISBLANK(D203),ISBLANK(F203)),
     IF(OR(B203="ALI",B203="AIE"),"L",IF(ISBLANK(B203),"","A")),
     IF(B203="EE",IF(F203&gt;=3,IF(D203&gt;=5,"H","A"),
     IF(F203&gt;=2,IF(D203&gt;=16,"H",IF(D203&lt;=4,"L","A")),IF(D203&lt;=15,"L","A"))),
     IF(OR(B203="SE",B203="CE"),IF(F203&gt;=4,IF(D203&gt;=6,"H","A"),IF(F203&gt;=2,IF(D203&gt;=20,"H",IF(D203&lt;=5,"L","A")),IF(D203&lt;=19,"L","A"))),
     IF(OR(B203="ALI",B203="AIE"),IF(F203&gt;=6,IF(D203&gt;=20,"H","A"),IF(F203&gt;=2,IF(D203&gt;=51,"H",IF(D203&lt;=19,"L","A")),IF(D203&lt;=50,"L","A"))))))),
IF('Dados da OS'!$D$8=Parâmetros!$B$6,"Indicativa",
IF('Dados da OS'!$D$8=Parâmetros!$B$5,"PFS","")))</f>
        <v/>
      </c>
      <c r="M203" s="57">
        <f>IFERROR(VLOOKUP(C203,'Fatores de Impacto e INMs'!$A$3:$D$32,3,0),1)</f>
        <v>1</v>
      </c>
      <c r="N203" s="57">
        <f>IFERROR(VLOOKUP(C203,'Fatores de Impacto e INMs'!$A$3:$E$32,5,0),1)</f>
        <v>1</v>
      </c>
      <c r="O203" s="63" t="str">
        <f xml:space="preserve">
IF(OR('Dados da OS'!$D$8="Selecione o tipo da contagem",ISBLANK('Dados da OS'!$D$8),B203="INM",B203="N/A",ISBLANK(B203),ISBLANK(C203),N203="VF"),"-",
   IF('Dados da OS'!$D$8=Parâmetros!$B$3,
      IF(OR(ISBLANK(D203),ISBLANK(F203)),"-",
         IF(L203="L","Baixa",IF(L203="A","Média",IF(L203="H","Alta","-")))),
      IF('Dados da OS'!$D$8=Parâmetros!$B$4,
         IF(OR(B203="ALI",B203="AIE"),"Baixa",IF(OR(B203="EE",B203="SE",B203="CE"),"Média","-")),
         IF(OR('Dados da OS'!$D$8=Parâmetros!$B$5,'Dados da OS'!$D$8=Parâmetros!$B$6),"-"))))</f>
        <v>-</v>
      </c>
      <c r="P203" s="59" t="str">
        <f xml:space="preserve">
IF(OR(ISBLANK(B203),ISBLANK(C203),B203="N/A",ISBLANK('Dados da OS'!$D$8)),"",
   IF(OR('Dados da OS'!$D$8=Parâmetros!$B$3,'Dados da OS'!$D$8=Parâmetros!$B$4),
      IF(OR(AND(B203="INM",N203&lt;&gt;"VF"),AND(N203="VF",B203&lt;&gt;"INM")),"",
        IF(AND(B203="INM",N203="VF"),IF(ISBLANK(H203),"",M203*H203),
        IF('Dados da OS'!$D$8=Parâmetros!$B$4,
           IF(OR(B203="CE",B203="EE"),4,IF(B203="SE",5,IF(B203="ALI",7,IF(B203="AIE",5,"")))),
        IF('Dados da OS'!$D$8=Parâmetros!$B$3,
           IF(OR(ISBLANK(D203),ISBLANK(F203)),"",
              IF(B203="ALI",IF(L203="L",7,IF(L203="A",10,15)),
                 IF(B203="AIE",IF(L203="L",5,IF(L203="A",7,10)),
                    IF(B203="SE",IF(L203="L",4,IF(L203="A",5,7)),
                       IF(OR(B203="EE",B203="CE"),IF(L203="L",3,IF(L203="A",4,6)),""))))))))),
   IF('Dados da OS'!$D$8=Parâmetros!$B$5,
      IF(OR(AND(B203="INM",N203&lt;&gt;"VF"),AND(N203="VF",B203&lt;&gt;"INM")),"",
         IF(B203="INM",IF(N203="VF",M203*H203,""),
            IF(B203="PE",4.6,
            IF(B203="AL",7,"")))),
   IF('Dados da OS'!$D$8=Parâmetros!$B$6,
      IF(B203="ALI",35,IF(B203="AIE",15,"")),""))
    )
)</f>
        <v/>
      </c>
      <c r="Q203" s="60" t="str">
        <f t="shared" si="25"/>
        <v/>
      </c>
      <c r="R203" s="61"/>
      <c r="S203" s="62"/>
      <c r="T203" s="80" t="s">
        <v>21</v>
      </c>
      <c r="U203" s="81"/>
      <c r="V203" s="99"/>
      <c r="W203" s="55"/>
      <c r="X203" s="55"/>
      <c r="Y203" s="56"/>
      <c r="Z203" s="55"/>
      <c r="AA203" s="56"/>
      <c r="AB203" s="55"/>
      <c r="AC203" s="57" t="str">
        <f t="shared" si="26"/>
        <v/>
      </c>
      <c r="AD203" s="57" t="str">
        <f t="shared" si="27"/>
        <v/>
      </c>
      <c r="AE203" s="57" t="str">
        <f xml:space="preserve">
IF(OR('Dados da OS'!$D$8=Parâmetros!$B$3,'Dados da OS'!$D$8=Parâmetros!$B$4),
  IF(OR(ISBLANK(X203),ISBLANK(Z203)),
     IF(OR(V203="ALI",V203="AIE"),"L",IF(ISBLANK(V203),"","A")),
     IF(V203="EE",IF(Z203&gt;=3,IF(X203&gt;=5,"H","A"),
     IF(Z203&gt;=2,IF(X203&gt;=16,"H",IF(X203&lt;=4,"L","A")),IF(X203&lt;=15,"L","A"))),
     IF(OR(V203="SE",V203="CE"),IF(Z203&gt;=4,IF(X203&gt;=6,"H","A"),IF(Z203&gt;=2,IF(X203&gt;=20,"H",IF(X203&lt;=5,"L","A")),IF(X203&lt;=19,"L","A"))),
     IF(OR(V203="ALI",V203="AIE"),IF(Z203&gt;=6,IF(X203&gt;=20,"H","A"),IF(Z203&gt;=2,IF(X203&gt;=51,"H",IF(X203&lt;=19,"L","A")),IF(X203&lt;=50,"L","A"))))))),
IF('Dados da OS'!$D$8=Parâmetros!$B$6,"Indicativa",
IF('Dados da OS'!$D$8=Parâmetros!$B$5,"PFS","")))</f>
        <v/>
      </c>
      <c r="AF203" s="57">
        <f>IFERROR(VLOOKUP(W203,'Fatores de Impacto e INMs'!$A$3:$D$32,3,0),1)</f>
        <v>1</v>
      </c>
      <c r="AG203" s="57">
        <f>IFERROR(VLOOKUP(W203,'Fatores de Impacto e INMs'!$A$3:$E$32,5,0),1)</f>
        <v>1</v>
      </c>
      <c r="AH203" s="82" t="str">
        <f xml:space="preserve">
IF(OR('Dados da OS'!$D$8="Selecione o tipo da contagem",ISBLANK('Dados da OS'!$D$8),V203="INM",V203="N/A",ISBLANK(V203),ISBLANK(W203),AG203="VF"),"-",
   IF('Dados da OS'!$D$8=Parâmetros!$B$3,
      IF(OR(ISBLANK(X203),ISBLANK(Z203)),"-",
         IF(AE203="L","Baixa",IF(AE203="A","Média",IF(AE203="H","Alta","-")))),
      IF('Dados da OS'!$D$8=Parâmetros!$B$4,
         IF(OR(V203="ALI",V203="AIE"),"Baixa",IF(OR(V203="EE",V203="SE",V203="CE"),"Média","-")),
         IF(OR('Dados da OS'!$D$8=Parâmetros!$B$5,'Dados da OS'!$D$8=Parâmetros!$B$6),"-"))))</f>
        <v>-</v>
      </c>
      <c r="AI203" s="83" t="str">
        <f xml:space="preserve">
IF(OR(ISBLANK(V203),ISBLANK(U203),ISBLANK(W203),V203="N/A",ISBLANK('Dados da OS'!$D$8)),"",
   IF(OR('Dados da OS'!$D$8=Parâmetros!$B$3,'Dados da OS'!$D$8=Parâmetros!$B$4),
      IF(OR(AND(V203="INM",AG203&lt;&gt;"VF"),AND(AG203="VF",V203&lt;&gt;"INM")),"",
        IF(AND(V203="INM",AG203="VF"),IF(ISBLANK(AB203),"",AF203*AB203),
        IF('Dados da OS'!$D$8=Parâmetros!$B$4,
           IF(OR(V203="CE",V203="EE"),4,IF(V203="SE",5,IF(V203="ALI",7,IF(V203="AIE",5,"")))),
        IF('Dados da OS'!$D$8=Parâmetros!$B$3,
           IF(OR(ISBLANK(X203),ISBLANK(Z203)),"",
              IF(V203="ALI",IF(AE203="L",7,IF(AE203="A",10,15)),
                 IF(V203="AIE",IF(AE203="L",5,IF(AE203="A",7,10)),
                    IF(V203="SE",IF(AE203="L",4,IF(AE203="A",5,7)),
                       IF(OR(V203="EE",V203="CE"),IF(AE203="L",3,IF(AE203="A",4,6)),""))))))))),
   IF('Dados da OS'!$D$8=Parâmetros!$B$5,
      IF(OR(AND(V203="INM",AG203&lt;&gt;"VF"),AND(AG203="VF",V203&lt;&gt;"INM")),"",
         IF(V203="INM",IF(AG203="VF",AF203*AB203,""),
            IF(V203="PE",4.6,
            IF(V203="AL",7,"")))),
   IF('Dados da OS'!$D$8=Parâmetros!$B$6,
      IF(V203="ALI",35,IF(V203="AIE",15,"")),""))
    )
)</f>
        <v/>
      </c>
      <c r="AJ203" s="82" t="str">
        <f t="shared" si="28"/>
        <v/>
      </c>
      <c r="AK203" s="84"/>
      <c r="AL203" s="85" t="s">
        <v>21</v>
      </c>
      <c r="AM203" s="86"/>
      <c r="AN203" s="85"/>
      <c r="AO203" s="87"/>
      <c r="AP203" s="85"/>
      <c r="AQ203" s="86"/>
      <c r="AR203" s="85"/>
    </row>
    <row r="204" spans="1:44" ht="15.75" customHeight="1">
      <c r="A204" s="54"/>
      <c r="B204" s="100"/>
      <c r="C204" s="55"/>
      <c r="D204" s="55"/>
      <c r="E204" s="56"/>
      <c r="F204" s="55"/>
      <c r="G204" s="56"/>
      <c r="H204" s="55"/>
      <c r="I204" s="64"/>
      <c r="J204" s="57" t="str">
        <f t="shared" si="23"/>
        <v/>
      </c>
      <c r="K204" s="57" t="str">
        <f t="shared" si="24"/>
        <v/>
      </c>
      <c r="L204" s="57" t="str">
        <f xml:space="preserve">
IF(OR('Dados da OS'!$D$8=Parâmetros!$B$3,'Dados da OS'!$D$8=Parâmetros!$B$4),
  IF(OR(ISBLANK(D204),ISBLANK(F204)),
     IF(OR(B204="ALI",B204="AIE"),"L",IF(ISBLANK(B204),"","A")),
     IF(B204="EE",IF(F204&gt;=3,IF(D204&gt;=5,"H","A"),
     IF(F204&gt;=2,IF(D204&gt;=16,"H",IF(D204&lt;=4,"L","A")),IF(D204&lt;=15,"L","A"))),
     IF(OR(B204="SE",B204="CE"),IF(F204&gt;=4,IF(D204&gt;=6,"H","A"),IF(F204&gt;=2,IF(D204&gt;=20,"H",IF(D204&lt;=5,"L","A")),IF(D204&lt;=19,"L","A"))),
     IF(OR(B204="ALI",B204="AIE"),IF(F204&gt;=6,IF(D204&gt;=20,"H","A"),IF(F204&gt;=2,IF(D204&gt;=51,"H",IF(D204&lt;=19,"L","A")),IF(D204&lt;=50,"L","A"))))))),
IF('Dados da OS'!$D$8=Parâmetros!$B$6,"Indicativa",
IF('Dados da OS'!$D$8=Parâmetros!$B$5,"PFS","")))</f>
        <v/>
      </c>
      <c r="M204" s="57">
        <f>IFERROR(VLOOKUP(C204,'Fatores de Impacto e INMs'!$A$3:$D$32,3,0),1)</f>
        <v>1</v>
      </c>
      <c r="N204" s="57">
        <f>IFERROR(VLOOKUP(C204,'Fatores de Impacto e INMs'!$A$3:$E$32,5,0),1)</f>
        <v>1</v>
      </c>
      <c r="O204" s="63" t="str">
        <f xml:space="preserve">
IF(OR('Dados da OS'!$D$8="Selecione o tipo da contagem",ISBLANK('Dados da OS'!$D$8),B204="INM",B204="N/A",ISBLANK(B204),ISBLANK(C204),N204="VF"),"-",
   IF('Dados da OS'!$D$8=Parâmetros!$B$3,
      IF(OR(ISBLANK(D204),ISBLANK(F204)),"-",
         IF(L204="L","Baixa",IF(L204="A","Média",IF(L204="H","Alta","-")))),
      IF('Dados da OS'!$D$8=Parâmetros!$B$4,
         IF(OR(B204="ALI",B204="AIE"),"Baixa",IF(OR(B204="EE",B204="SE",B204="CE"),"Média","-")),
         IF(OR('Dados da OS'!$D$8=Parâmetros!$B$5,'Dados da OS'!$D$8=Parâmetros!$B$6),"-"))))</f>
        <v>-</v>
      </c>
      <c r="P204" s="59" t="str">
        <f xml:space="preserve">
IF(OR(ISBLANK(B204),ISBLANK(C204),B204="N/A",ISBLANK('Dados da OS'!$D$8)),"",
   IF(OR('Dados da OS'!$D$8=Parâmetros!$B$3,'Dados da OS'!$D$8=Parâmetros!$B$4),
      IF(OR(AND(B204="INM",N204&lt;&gt;"VF"),AND(N204="VF",B204&lt;&gt;"INM")),"",
        IF(AND(B204="INM",N204="VF"),IF(ISBLANK(H204),"",M204*H204),
        IF('Dados da OS'!$D$8=Parâmetros!$B$4,
           IF(OR(B204="CE",B204="EE"),4,IF(B204="SE",5,IF(B204="ALI",7,IF(B204="AIE",5,"")))),
        IF('Dados da OS'!$D$8=Parâmetros!$B$3,
           IF(OR(ISBLANK(D204),ISBLANK(F204)),"",
              IF(B204="ALI",IF(L204="L",7,IF(L204="A",10,15)),
                 IF(B204="AIE",IF(L204="L",5,IF(L204="A",7,10)),
                    IF(B204="SE",IF(L204="L",4,IF(L204="A",5,7)),
                       IF(OR(B204="EE",B204="CE"),IF(L204="L",3,IF(L204="A",4,6)),""))))))))),
   IF('Dados da OS'!$D$8=Parâmetros!$B$5,
      IF(OR(AND(B204="INM",N204&lt;&gt;"VF"),AND(N204="VF",B204&lt;&gt;"INM")),"",
         IF(B204="INM",IF(N204="VF",M204*H204,""),
            IF(B204="PE",4.6,
            IF(B204="AL",7,"")))),
   IF('Dados da OS'!$D$8=Parâmetros!$B$6,
      IF(B204="ALI",35,IF(B204="AIE",15,"")),""))
    )
)</f>
        <v/>
      </c>
      <c r="Q204" s="60" t="str">
        <f t="shared" si="25"/>
        <v/>
      </c>
      <c r="R204" s="61"/>
      <c r="S204" s="62"/>
      <c r="T204" s="80" t="s">
        <v>21</v>
      </c>
      <c r="U204" s="81"/>
      <c r="V204" s="99"/>
      <c r="W204" s="55"/>
      <c r="X204" s="55"/>
      <c r="Y204" s="56"/>
      <c r="Z204" s="55"/>
      <c r="AA204" s="56"/>
      <c r="AB204" s="55"/>
      <c r="AC204" s="57" t="str">
        <f t="shared" si="26"/>
        <v/>
      </c>
      <c r="AD204" s="57" t="str">
        <f t="shared" si="27"/>
        <v/>
      </c>
      <c r="AE204" s="57" t="str">
        <f xml:space="preserve">
IF(OR('Dados da OS'!$D$8=Parâmetros!$B$3,'Dados da OS'!$D$8=Parâmetros!$B$4),
  IF(OR(ISBLANK(X204),ISBLANK(Z204)),
     IF(OR(V204="ALI",V204="AIE"),"L",IF(ISBLANK(V204),"","A")),
     IF(V204="EE",IF(Z204&gt;=3,IF(X204&gt;=5,"H","A"),
     IF(Z204&gt;=2,IF(X204&gt;=16,"H",IF(X204&lt;=4,"L","A")),IF(X204&lt;=15,"L","A"))),
     IF(OR(V204="SE",V204="CE"),IF(Z204&gt;=4,IF(X204&gt;=6,"H","A"),IF(Z204&gt;=2,IF(X204&gt;=20,"H",IF(X204&lt;=5,"L","A")),IF(X204&lt;=19,"L","A"))),
     IF(OR(V204="ALI",V204="AIE"),IF(Z204&gt;=6,IF(X204&gt;=20,"H","A"),IF(Z204&gt;=2,IF(X204&gt;=51,"H",IF(X204&lt;=19,"L","A")),IF(X204&lt;=50,"L","A"))))))),
IF('Dados da OS'!$D$8=Parâmetros!$B$6,"Indicativa",
IF('Dados da OS'!$D$8=Parâmetros!$B$5,"PFS","")))</f>
        <v/>
      </c>
      <c r="AF204" s="57">
        <f>IFERROR(VLOOKUP(W204,'Fatores de Impacto e INMs'!$A$3:$D$32,3,0),1)</f>
        <v>1</v>
      </c>
      <c r="AG204" s="57">
        <f>IFERROR(VLOOKUP(W204,'Fatores de Impacto e INMs'!$A$3:$E$32,5,0),1)</f>
        <v>1</v>
      </c>
      <c r="AH204" s="82" t="str">
        <f xml:space="preserve">
IF(OR('Dados da OS'!$D$8="Selecione o tipo da contagem",ISBLANK('Dados da OS'!$D$8),V204="INM",V204="N/A",ISBLANK(V204),ISBLANK(W204),AG204="VF"),"-",
   IF('Dados da OS'!$D$8=Parâmetros!$B$3,
      IF(OR(ISBLANK(X204),ISBLANK(Z204)),"-",
         IF(AE204="L","Baixa",IF(AE204="A","Média",IF(AE204="H","Alta","-")))),
      IF('Dados da OS'!$D$8=Parâmetros!$B$4,
         IF(OR(V204="ALI",V204="AIE"),"Baixa",IF(OR(V204="EE",V204="SE",V204="CE"),"Média","-")),
         IF(OR('Dados da OS'!$D$8=Parâmetros!$B$5,'Dados da OS'!$D$8=Parâmetros!$B$6),"-"))))</f>
        <v>-</v>
      </c>
      <c r="AI204" s="83" t="str">
        <f xml:space="preserve">
IF(OR(ISBLANK(V204),ISBLANK(U204),ISBLANK(W204),V204="N/A",ISBLANK('Dados da OS'!$D$8)),"",
   IF(OR('Dados da OS'!$D$8=Parâmetros!$B$3,'Dados da OS'!$D$8=Parâmetros!$B$4),
      IF(OR(AND(V204="INM",AG204&lt;&gt;"VF"),AND(AG204="VF",V204&lt;&gt;"INM")),"",
        IF(AND(V204="INM",AG204="VF"),IF(ISBLANK(AB204),"",AF204*AB204),
        IF('Dados da OS'!$D$8=Parâmetros!$B$4,
           IF(OR(V204="CE",V204="EE"),4,IF(V204="SE",5,IF(V204="ALI",7,IF(V204="AIE",5,"")))),
        IF('Dados da OS'!$D$8=Parâmetros!$B$3,
           IF(OR(ISBLANK(X204),ISBLANK(Z204)),"",
              IF(V204="ALI",IF(AE204="L",7,IF(AE204="A",10,15)),
                 IF(V204="AIE",IF(AE204="L",5,IF(AE204="A",7,10)),
                    IF(V204="SE",IF(AE204="L",4,IF(AE204="A",5,7)),
                       IF(OR(V204="EE",V204="CE"),IF(AE204="L",3,IF(AE204="A",4,6)),""))))))))),
   IF('Dados da OS'!$D$8=Parâmetros!$B$5,
      IF(OR(AND(V204="INM",AG204&lt;&gt;"VF"),AND(AG204="VF",V204&lt;&gt;"INM")),"",
         IF(V204="INM",IF(AG204="VF",AF204*AB204,""),
            IF(V204="PE",4.6,
            IF(V204="AL",7,"")))),
   IF('Dados da OS'!$D$8=Parâmetros!$B$6,
      IF(V204="ALI",35,IF(V204="AIE",15,"")),""))
    )
)</f>
        <v/>
      </c>
      <c r="AJ204" s="82" t="str">
        <f t="shared" si="28"/>
        <v/>
      </c>
      <c r="AK204" s="84"/>
      <c r="AL204" s="85" t="s">
        <v>21</v>
      </c>
      <c r="AM204" s="86"/>
      <c r="AN204" s="85"/>
      <c r="AO204" s="87"/>
      <c r="AP204" s="85"/>
      <c r="AQ204" s="86"/>
      <c r="AR204" s="85"/>
    </row>
    <row r="205" spans="1:44" ht="15.75" customHeight="1">
      <c r="A205" s="54"/>
      <c r="B205" s="100"/>
      <c r="C205" s="55"/>
      <c r="D205" s="55"/>
      <c r="E205" s="56"/>
      <c r="F205" s="55"/>
      <c r="G205" s="56"/>
      <c r="H205" s="55"/>
      <c r="I205" s="64"/>
      <c r="J205" s="57" t="str">
        <f t="shared" si="23"/>
        <v/>
      </c>
      <c r="K205" s="57" t="str">
        <f t="shared" si="24"/>
        <v/>
      </c>
      <c r="L205" s="57" t="str">
        <f xml:space="preserve">
IF(OR('Dados da OS'!$D$8=Parâmetros!$B$3,'Dados da OS'!$D$8=Parâmetros!$B$4),
  IF(OR(ISBLANK(D205),ISBLANK(F205)),
     IF(OR(B205="ALI",B205="AIE"),"L",IF(ISBLANK(B205),"","A")),
     IF(B205="EE",IF(F205&gt;=3,IF(D205&gt;=5,"H","A"),
     IF(F205&gt;=2,IF(D205&gt;=16,"H",IF(D205&lt;=4,"L","A")),IF(D205&lt;=15,"L","A"))),
     IF(OR(B205="SE",B205="CE"),IF(F205&gt;=4,IF(D205&gt;=6,"H","A"),IF(F205&gt;=2,IF(D205&gt;=20,"H",IF(D205&lt;=5,"L","A")),IF(D205&lt;=19,"L","A"))),
     IF(OR(B205="ALI",B205="AIE"),IF(F205&gt;=6,IF(D205&gt;=20,"H","A"),IF(F205&gt;=2,IF(D205&gt;=51,"H",IF(D205&lt;=19,"L","A")),IF(D205&lt;=50,"L","A"))))))),
IF('Dados da OS'!$D$8=Parâmetros!$B$6,"Indicativa",
IF('Dados da OS'!$D$8=Parâmetros!$B$5,"PFS","")))</f>
        <v/>
      </c>
      <c r="M205" s="57">
        <f>IFERROR(VLOOKUP(C205,'Fatores de Impacto e INMs'!$A$3:$D$32,3,0),1)</f>
        <v>1</v>
      </c>
      <c r="N205" s="57">
        <f>IFERROR(VLOOKUP(C205,'Fatores de Impacto e INMs'!$A$3:$E$32,5,0),1)</f>
        <v>1</v>
      </c>
      <c r="O205" s="63" t="str">
        <f xml:space="preserve">
IF(OR('Dados da OS'!$D$8="Selecione o tipo da contagem",ISBLANK('Dados da OS'!$D$8),B205="INM",B205="N/A",ISBLANK(B205),ISBLANK(C205),N205="VF"),"-",
   IF('Dados da OS'!$D$8=Parâmetros!$B$3,
      IF(OR(ISBLANK(D205),ISBLANK(F205)),"-",
         IF(L205="L","Baixa",IF(L205="A","Média",IF(L205="H","Alta","-")))),
      IF('Dados da OS'!$D$8=Parâmetros!$B$4,
         IF(OR(B205="ALI",B205="AIE"),"Baixa",IF(OR(B205="EE",B205="SE",B205="CE"),"Média","-")),
         IF(OR('Dados da OS'!$D$8=Parâmetros!$B$5,'Dados da OS'!$D$8=Parâmetros!$B$6),"-"))))</f>
        <v>-</v>
      </c>
      <c r="P205" s="59" t="str">
        <f xml:space="preserve">
IF(OR(ISBLANK(B205),ISBLANK(C205),B205="N/A",ISBLANK('Dados da OS'!$D$8)),"",
   IF(OR('Dados da OS'!$D$8=Parâmetros!$B$3,'Dados da OS'!$D$8=Parâmetros!$B$4),
      IF(OR(AND(B205="INM",N205&lt;&gt;"VF"),AND(N205="VF",B205&lt;&gt;"INM")),"",
        IF(AND(B205="INM",N205="VF"),IF(ISBLANK(H205),"",M205*H205),
        IF('Dados da OS'!$D$8=Parâmetros!$B$4,
           IF(OR(B205="CE",B205="EE"),4,IF(B205="SE",5,IF(B205="ALI",7,IF(B205="AIE",5,"")))),
        IF('Dados da OS'!$D$8=Parâmetros!$B$3,
           IF(OR(ISBLANK(D205),ISBLANK(F205)),"",
              IF(B205="ALI",IF(L205="L",7,IF(L205="A",10,15)),
                 IF(B205="AIE",IF(L205="L",5,IF(L205="A",7,10)),
                    IF(B205="SE",IF(L205="L",4,IF(L205="A",5,7)),
                       IF(OR(B205="EE",B205="CE"),IF(L205="L",3,IF(L205="A",4,6)),""))))))))),
   IF('Dados da OS'!$D$8=Parâmetros!$B$5,
      IF(OR(AND(B205="INM",N205&lt;&gt;"VF"),AND(N205="VF",B205&lt;&gt;"INM")),"",
         IF(B205="INM",IF(N205="VF",M205*H205,""),
            IF(B205="PE",4.6,
            IF(B205="AL",7,"")))),
   IF('Dados da OS'!$D$8=Parâmetros!$B$6,
      IF(B205="ALI",35,IF(B205="AIE",15,"")),""))
    )
)</f>
        <v/>
      </c>
      <c r="Q205" s="60" t="str">
        <f t="shared" si="25"/>
        <v/>
      </c>
      <c r="R205" s="61"/>
      <c r="S205" s="62"/>
      <c r="T205" s="80" t="s">
        <v>21</v>
      </c>
      <c r="U205" s="81"/>
      <c r="V205" s="99"/>
      <c r="W205" s="55"/>
      <c r="X205" s="55"/>
      <c r="Y205" s="56"/>
      <c r="Z205" s="55"/>
      <c r="AA205" s="56"/>
      <c r="AB205" s="55"/>
      <c r="AC205" s="57" t="str">
        <f t="shared" si="26"/>
        <v/>
      </c>
      <c r="AD205" s="57" t="str">
        <f t="shared" si="27"/>
        <v/>
      </c>
      <c r="AE205" s="57" t="str">
        <f xml:space="preserve">
IF(OR('Dados da OS'!$D$8=Parâmetros!$B$3,'Dados da OS'!$D$8=Parâmetros!$B$4),
  IF(OR(ISBLANK(X205),ISBLANK(Z205)),
     IF(OR(V205="ALI",V205="AIE"),"L",IF(ISBLANK(V205),"","A")),
     IF(V205="EE",IF(Z205&gt;=3,IF(X205&gt;=5,"H","A"),
     IF(Z205&gt;=2,IF(X205&gt;=16,"H",IF(X205&lt;=4,"L","A")),IF(X205&lt;=15,"L","A"))),
     IF(OR(V205="SE",V205="CE"),IF(Z205&gt;=4,IF(X205&gt;=6,"H","A"),IF(Z205&gt;=2,IF(X205&gt;=20,"H",IF(X205&lt;=5,"L","A")),IF(X205&lt;=19,"L","A"))),
     IF(OR(V205="ALI",V205="AIE"),IF(Z205&gt;=6,IF(X205&gt;=20,"H","A"),IF(Z205&gt;=2,IF(X205&gt;=51,"H",IF(X205&lt;=19,"L","A")),IF(X205&lt;=50,"L","A"))))))),
IF('Dados da OS'!$D$8=Parâmetros!$B$6,"Indicativa",
IF('Dados da OS'!$D$8=Parâmetros!$B$5,"PFS","")))</f>
        <v/>
      </c>
      <c r="AF205" s="57">
        <f>IFERROR(VLOOKUP(W205,'Fatores de Impacto e INMs'!$A$3:$D$32,3,0),1)</f>
        <v>1</v>
      </c>
      <c r="AG205" s="57">
        <f>IFERROR(VLOOKUP(W205,'Fatores de Impacto e INMs'!$A$3:$E$32,5,0),1)</f>
        <v>1</v>
      </c>
      <c r="AH205" s="82" t="str">
        <f xml:space="preserve">
IF(OR('Dados da OS'!$D$8="Selecione o tipo da contagem",ISBLANK('Dados da OS'!$D$8),V205="INM",V205="N/A",ISBLANK(V205),ISBLANK(W205),AG205="VF"),"-",
   IF('Dados da OS'!$D$8=Parâmetros!$B$3,
      IF(OR(ISBLANK(X205),ISBLANK(Z205)),"-",
         IF(AE205="L","Baixa",IF(AE205="A","Média",IF(AE205="H","Alta","-")))),
      IF('Dados da OS'!$D$8=Parâmetros!$B$4,
         IF(OR(V205="ALI",V205="AIE"),"Baixa",IF(OR(V205="EE",V205="SE",V205="CE"),"Média","-")),
         IF(OR('Dados da OS'!$D$8=Parâmetros!$B$5,'Dados da OS'!$D$8=Parâmetros!$B$6),"-"))))</f>
        <v>-</v>
      </c>
      <c r="AI205" s="83" t="str">
        <f xml:space="preserve">
IF(OR(ISBLANK(V205),ISBLANK(U205),ISBLANK(W205),V205="N/A",ISBLANK('Dados da OS'!$D$8)),"",
   IF(OR('Dados da OS'!$D$8=Parâmetros!$B$3,'Dados da OS'!$D$8=Parâmetros!$B$4),
      IF(OR(AND(V205="INM",AG205&lt;&gt;"VF"),AND(AG205="VF",V205&lt;&gt;"INM")),"",
        IF(AND(V205="INM",AG205="VF"),IF(ISBLANK(AB205),"",AF205*AB205),
        IF('Dados da OS'!$D$8=Parâmetros!$B$4,
           IF(OR(V205="CE",V205="EE"),4,IF(V205="SE",5,IF(V205="ALI",7,IF(V205="AIE",5,"")))),
        IF('Dados da OS'!$D$8=Parâmetros!$B$3,
           IF(OR(ISBLANK(X205),ISBLANK(Z205)),"",
              IF(V205="ALI",IF(AE205="L",7,IF(AE205="A",10,15)),
                 IF(V205="AIE",IF(AE205="L",5,IF(AE205="A",7,10)),
                    IF(V205="SE",IF(AE205="L",4,IF(AE205="A",5,7)),
                       IF(OR(V205="EE",V205="CE"),IF(AE205="L",3,IF(AE205="A",4,6)),""))))))))),
   IF('Dados da OS'!$D$8=Parâmetros!$B$5,
      IF(OR(AND(V205="INM",AG205&lt;&gt;"VF"),AND(AG205="VF",V205&lt;&gt;"INM")),"",
         IF(V205="INM",IF(AG205="VF",AF205*AB205,""),
            IF(V205="PE",4.6,
            IF(V205="AL",7,"")))),
   IF('Dados da OS'!$D$8=Parâmetros!$B$6,
      IF(V205="ALI",35,IF(V205="AIE",15,"")),""))
    )
)</f>
        <v/>
      </c>
      <c r="AJ205" s="82" t="str">
        <f t="shared" si="28"/>
        <v/>
      </c>
      <c r="AK205" s="84"/>
      <c r="AL205" s="85" t="s">
        <v>21</v>
      </c>
      <c r="AM205" s="86"/>
      <c r="AN205" s="85"/>
      <c r="AO205" s="87"/>
      <c r="AP205" s="85"/>
      <c r="AQ205" s="86"/>
      <c r="AR205" s="85"/>
    </row>
    <row r="206" spans="1:44" ht="15.75" customHeight="1">
      <c r="A206" s="54"/>
      <c r="B206" s="100"/>
      <c r="C206" s="55"/>
      <c r="D206" s="55"/>
      <c r="E206" s="56"/>
      <c r="F206" s="55"/>
      <c r="G206" s="56"/>
      <c r="H206" s="55"/>
      <c r="I206" s="64"/>
      <c r="J206" s="57" t="str">
        <f t="shared" si="23"/>
        <v/>
      </c>
      <c r="K206" s="57" t="str">
        <f t="shared" si="24"/>
        <v/>
      </c>
      <c r="L206" s="57" t="str">
        <f xml:space="preserve">
IF(OR('Dados da OS'!$D$8=Parâmetros!$B$3,'Dados da OS'!$D$8=Parâmetros!$B$4),
  IF(OR(ISBLANK(D206),ISBLANK(F206)),
     IF(OR(B206="ALI",B206="AIE"),"L",IF(ISBLANK(B206),"","A")),
     IF(B206="EE",IF(F206&gt;=3,IF(D206&gt;=5,"H","A"),
     IF(F206&gt;=2,IF(D206&gt;=16,"H",IF(D206&lt;=4,"L","A")),IF(D206&lt;=15,"L","A"))),
     IF(OR(B206="SE",B206="CE"),IF(F206&gt;=4,IF(D206&gt;=6,"H","A"),IF(F206&gt;=2,IF(D206&gt;=20,"H",IF(D206&lt;=5,"L","A")),IF(D206&lt;=19,"L","A"))),
     IF(OR(B206="ALI",B206="AIE"),IF(F206&gt;=6,IF(D206&gt;=20,"H","A"),IF(F206&gt;=2,IF(D206&gt;=51,"H",IF(D206&lt;=19,"L","A")),IF(D206&lt;=50,"L","A"))))))),
IF('Dados da OS'!$D$8=Parâmetros!$B$6,"Indicativa",
IF('Dados da OS'!$D$8=Parâmetros!$B$5,"PFS","")))</f>
        <v/>
      </c>
      <c r="M206" s="57">
        <f>IFERROR(VLOOKUP(C206,'Fatores de Impacto e INMs'!$A$3:$D$32,3,0),1)</f>
        <v>1</v>
      </c>
      <c r="N206" s="57">
        <f>IFERROR(VLOOKUP(C206,'Fatores de Impacto e INMs'!$A$3:$E$32,5,0),1)</f>
        <v>1</v>
      </c>
      <c r="O206" s="63" t="str">
        <f xml:space="preserve">
IF(OR('Dados da OS'!$D$8="Selecione o tipo da contagem",ISBLANK('Dados da OS'!$D$8),B206="INM",B206="N/A",ISBLANK(B206),ISBLANK(C206),N206="VF"),"-",
   IF('Dados da OS'!$D$8=Parâmetros!$B$3,
      IF(OR(ISBLANK(D206),ISBLANK(F206)),"-",
         IF(L206="L","Baixa",IF(L206="A","Média",IF(L206="H","Alta","-")))),
      IF('Dados da OS'!$D$8=Parâmetros!$B$4,
         IF(OR(B206="ALI",B206="AIE"),"Baixa",IF(OR(B206="EE",B206="SE",B206="CE"),"Média","-")),
         IF(OR('Dados da OS'!$D$8=Parâmetros!$B$5,'Dados da OS'!$D$8=Parâmetros!$B$6),"-"))))</f>
        <v>-</v>
      </c>
      <c r="P206" s="59" t="str">
        <f xml:space="preserve">
IF(OR(ISBLANK(B206),ISBLANK(C206),B206="N/A",ISBLANK('Dados da OS'!$D$8)),"",
   IF(OR('Dados da OS'!$D$8=Parâmetros!$B$3,'Dados da OS'!$D$8=Parâmetros!$B$4),
      IF(OR(AND(B206="INM",N206&lt;&gt;"VF"),AND(N206="VF",B206&lt;&gt;"INM")),"",
        IF(AND(B206="INM",N206="VF"),IF(ISBLANK(H206),"",M206*H206),
        IF('Dados da OS'!$D$8=Parâmetros!$B$4,
           IF(OR(B206="CE",B206="EE"),4,IF(B206="SE",5,IF(B206="ALI",7,IF(B206="AIE",5,"")))),
        IF('Dados da OS'!$D$8=Parâmetros!$B$3,
           IF(OR(ISBLANK(D206),ISBLANK(F206)),"",
              IF(B206="ALI",IF(L206="L",7,IF(L206="A",10,15)),
                 IF(B206="AIE",IF(L206="L",5,IF(L206="A",7,10)),
                    IF(B206="SE",IF(L206="L",4,IF(L206="A",5,7)),
                       IF(OR(B206="EE",B206="CE"),IF(L206="L",3,IF(L206="A",4,6)),""))))))))),
   IF('Dados da OS'!$D$8=Parâmetros!$B$5,
      IF(OR(AND(B206="INM",N206&lt;&gt;"VF"),AND(N206="VF",B206&lt;&gt;"INM")),"",
         IF(B206="INM",IF(N206="VF",M206*H206,""),
            IF(B206="PE",4.6,
            IF(B206="AL",7,"")))),
   IF('Dados da OS'!$D$8=Parâmetros!$B$6,
      IF(B206="ALI",35,IF(B206="AIE",15,"")),""))
    )
)</f>
        <v/>
      </c>
      <c r="Q206" s="60" t="str">
        <f t="shared" si="25"/>
        <v/>
      </c>
      <c r="R206" s="61"/>
      <c r="S206" s="62"/>
      <c r="T206" s="80" t="s">
        <v>21</v>
      </c>
      <c r="U206" s="81"/>
      <c r="V206" s="99"/>
      <c r="W206" s="55"/>
      <c r="X206" s="55"/>
      <c r="Y206" s="56"/>
      <c r="Z206" s="55"/>
      <c r="AA206" s="56"/>
      <c r="AB206" s="55"/>
      <c r="AC206" s="57" t="str">
        <f t="shared" si="26"/>
        <v/>
      </c>
      <c r="AD206" s="57" t="str">
        <f t="shared" si="27"/>
        <v/>
      </c>
      <c r="AE206" s="57" t="str">
        <f xml:space="preserve">
IF(OR('Dados da OS'!$D$8=Parâmetros!$B$3,'Dados da OS'!$D$8=Parâmetros!$B$4),
  IF(OR(ISBLANK(X206),ISBLANK(Z206)),
     IF(OR(V206="ALI",V206="AIE"),"L",IF(ISBLANK(V206),"","A")),
     IF(V206="EE",IF(Z206&gt;=3,IF(X206&gt;=5,"H","A"),
     IF(Z206&gt;=2,IF(X206&gt;=16,"H",IF(X206&lt;=4,"L","A")),IF(X206&lt;=15,"L","A"))),
     IF(OR(V206="SE",V206="CE"),IF(Z206&gt;=4,IF(X206&gt;=6,"H","A"),IF(Z206&gt;=2,IF(X206&gt;=20,"H",IF(X206&lt;=5,"L","A")),IF(X206&lt;=19,"L","A"))),
     IF(OR(V206="ALI",V206="AIE"),IF(Z206&gt;=6,IF(X206&gt;=20,"H","A"),IF(Z206&gt;=2,IF(X206&gt;=51,"H",IF(X206&lt;=19,"L","A")),IF(X206&lt;=50,"L","A"))))))),
IF('Dados da OS'!$D$8=Parâmetros!$B$6,"Indicativa",
IF('Dados da OS'!$D$8=Parâmetros!$B$5,"PFS","")))</f>
        <v/>
      </c>
      <c r="AF206" s="57">
        <f>IFERROR(VLOOKUP(W206,'Fatores de Impacto e INMs'!$A$3:$D$32,3,0),1)</f>
        <v>1</v>
      </c>
      <c r="AG206" s="57">
        <f>IFERROR(VLOOKUP(W206,'Fatores de Impacto e INMs'!$A$3:$E$32,5,0),1)</f>
        <v>1</v>
      </c>
      <c r="AH206" s="82" t="str">
        <f xml:space="preserve">
IF(OR('Dados da OS'!$D$8="Selecione o tipo da contagem",ISBLANK('Dados da OS'!$D$8),V206="INM",V206="N/A",ISBLANK(V206),ISBLANK(W206),AG206="VF"),"-",
   IF('Dados da OS'!$D$8=Parâmetros!$B$3,
      IF(OR(ISBLANK(X206),ISBLANK(Z206)),"-",
         IF(AE206="L","Baixa",IF(AE206="A","Média",IF(AE206="H","Alta","-")))),
      IF('Dados da OS'!$D$8=Parâmetros!$B$4,
         IF(OR(V206="ALI",V206="AIE"),"Baixa",IF(OR(V206="EE",V206="SE",V206="CE"),"Média","-")),
         IF(OR('Dados da OS'!$D$8=Parâmetros!$B$5,'Dados da OS'!$D$8=Parâmetros!$B$6),"-"))))</f>
        <v>-</v>
      </c>
      <c r="AI206" s="83" t="str">
        <f xml:space="preserve">
IF(OR(ISBLANK(V206),ISBLANK(U206),ISBLANK(W206),V206="N/A",ISBLANK('Dados da OS'!$D$8)),"",
   IF(OR('Dados da OS'!$D$8=Parâmetros!$B$3,'Dados da OS'!$D$8=Parâmetros!$B$4),
      IF(OR(AND(V206="INM",AG206&lt;&gt;"VF"),AND(AG206="VF",V206&lt;&gt;"INM")),"",
        IF(AND(V206="INM",AG206="VF"),IF(ISBLANK(AB206),"",AF206*AB206),
        IF('Dados da OS'!$D$8=Parâmetros!$B$4,
           IF(OR(V206="CE",V206="EE"),4,IF(V206="SE",5,IF(V206="ALI",7,IF(V206="AIE",5,"")))),
        IF('Dados da OS'!$D$8=Parâmetros!$B$3,
           IF(OR(ISBLANK(X206),ISBLANK(Z206)),"",
              IF(V206="ALI",IF(AE206="L",7,IF(AE206="A",10,15)),
                 IF(V206="AIE",IF(AE206="L",5,IF(AE206="A",7,10)),
                    IF(V206="SE",IF(AE206="L",4,IF(AE206="A",5,7)),
                       IF(OR(V206="EE",V206="CE"),IF(AE206="L",3,IF(AE206="A",4,6)),""))))))))),
   IF('Dados da OS'!$D$8=Parâmetros!$B$5,
      IF(OR(AND(V206="INM",AG206&lt;&gt;"VF"),AND(AG206="VF",V206&lt;&gt;"INM")),"",
         IF(V206="INM",IF(AG206="VF",AF206*AB206,""),
            IF(V206="PE",4.6,
            IF(V206="AL",7,"")))),
   IF('Dados da OS'!$D$8=Parâmetros!$B$6,
      IF(V206="ALI",35,IF(V206="AIE",15,"")),""))
    )
)</f>
        <v/>
      </c>
      <c r="AJ206" s="82" t="str">
        <f t="shared" si="28"/>
        <v/>
      </c>
      <c r="AK206" s="84"/>
      <c r="AL206" s="85" t="s">
        <v>21</v>
      </c>
      <c r="AM206" s="86"/>
      <c r="AN206" s="85"/>
      <c r="AO206" s="87"/>
      <c r="AP206" s="85"/>
      <c r="AQ206" s="86"/>
      <c r="AR206" s="85"/>
    </row>
    <row r="207" spans="1:44" ht="15.75" customHeight="1">
      <c r="A207" s="54"/>
      <c r="B207" s="100"/>
      <c r="C207" s="55"/>
      <c r="D207" s="55"/>
      <c r="E207" s="56"/>
      <c r="F207" s="55"/>
      <c r="G207" s="56"/>
      <c r="H207" s="55"/>
      <c r="I207" s="64"/>
      <c r="J207" s="57" t="str">
        <f t="shared" si="23"/>
        <v/>
      </c>
      <c r="K207" s="57" t="str">
        <f t="shared" si="24"/>
        <v/>
      </c>
      <c r="L207" s="57" t="str">
        <f xml:space="preserve">
IF(OR('Dados da OS'!$D$8=Parâmetros!$B$3,'Dados da OS'!$D$8=Parâmetros!$B$4),
  IF(OR(ISBLANK(D207),ISBLANK(F207)),
     IF(OR(B207="ALI",B207="AIE"),"L",IF(ISBLANK(B207),"","A")),
     IF(B207="EE",IF(F207&gt;=3,IF(D207&gt;=5,"H","A"),
     IF(F207&gt;=2,IF(D207&gt;=16,"H",IF(D207&lt;=4,"L","A")),IF(D207&lt;=15,"L","A"))),
     IF(OR(B207="SE",B207="CE"),IF(F207&gt;=4,IF(D207&gt;=6,"H","A"),IF(F207&gt;=2,IF(D207&gt;=20,"H",IF(D207&lt;=5,"L","A")),IF(D207&lt;=19,"L","A"))),
     IF(OR(B207="ALI",B207="AIE"),IF(F207&gt;=6,IF(D207&gt;=20,"H","A"),IF(F207&gt;=2,IF(D207&gt;=51,"H",IF(D207&lt;=19,"L","A")),IF(D207&lt;=50,"L","A"))))))),
IF('Dados da OS'!$D$8=Parâmetros!$B$6,"Indicativa",
IF('Dados da OS'!$D$8=Parâmetros!$B$5,"PFS","")))</f>
        <v/>
      </c>
      <c r="M207" s="57">
        <f>IFERROR(VLOOKUP(C207,'Fatores de Impacto e INMs'!$A$3:$D$32,3,0),1)</f>
        <v>1</v>
      </c>
      <c r="N207" s="57">
        <f>IFERROR(VLOOKUP(C207,'Fatores de Impacto e INMs'!$A$3:$E$32,5,0),1)</f>
        <v>1</v>
      </c>
      <c r="O207" s="63" t="str">
        <f xml:space="preserve">
IF(OR('Dados da OS'!$D$8="Selecione o tipo da contagem",ISBLANK('Dados da OS'!$D$8),B207="INM",B207="N/A",ISBLANK(B207),ISBLANK(C207),N207="VF"),"-",
   IF('Dados da OS'!$D$8=Parâmetros!$B$3,
      IF(OR(ISBLANK(D207),ISBLANK(F207)),"-",
         IF(L207="L","Baixa",IF(L207="A","Média",IF(L207="H","Alta","-")))),
      IF('Dados da OS'!$D$8=Parâmetros!$B$4,
         IF(OR(B207="ALI",B207="AIE"),"Baixa",IF(OR(B207="EE",B207="SE",B207="CE"),"Média","-")),
         IF(OR('Dados da OS'!$D$8=Parâmetros!$B$5,'Dados da OS'!$D$8=Parâmetros!$B$6),"-"))))</f>
        <v>-</v>
      </c>
      <c r="P207" s="59" t="str">
        <f xml:space="preserve">
IF(OR(ISBLANK(B207),ISBLANK(C207),B207="N/A",ISBLANK('Dados da OS'!$D$8)),"",
   IF(OR('Dados da OS'!$D$8=Parâmetros!$B$3,'Dados da OS'!$D$8=Parâmetros!$B$4),
      IF(OR(AND(B207="INM",N207&lt;&gt;"VF"),AND(N207="VF",B207&lt;&gt;"INM")),"",
        IF(AND(B207="INM",N207="VF"),IF(ISBLANK(H207),"",M207*H207),
        IF('Dados da OS'!$D$8=Parâmetros!$B$4,
           IF(OR(B207="CE",B207="EE"),4,IF(B207="SE",5,IF(B207="ALI",7,IF(B207="AIE",5,"")))),
        IF('Dados da OS'!$D$8=Parâmetros!$B$3,
           IF(OR(ISBLANK(D207),ISBLANK(F207)),"",
              IF(B207="ALI",IF(L207="L",7,IF(L207="A",10,15)),
                 IF(B207="AIE",IF(L207="L",5,IF(L207="A",7,10)),
                    IF(B207="SE",IF(L207="L",4,IF(L207="A",5,7)),
                       IF(OR(B207="EE",B207="CE"),IF(L207="L",3,IF(L207="A",4,6)),""))))))))),
   IF('Dados da OS'!$D$8=Parâmetros!$B$5,
      IF(OR(AND(B207="INM",N207&lt;&gt;"VF"),AND(N207="VF",B207&lt;&gt;"INM")),"",
         IF(B207="INM",IF(N207="VF",M207*H207,""),
            IF(B207="PE",4.6,
            IF(B207="AL",7,"")))),
   IF('Dados da OS'!$D$8=Parâmetros!$B$6,
      IF(B207="ALI",35,IF(B207="AIE",15,"")),""))
    )
)</f>
        <v/>
      </c>
      <c r="Q207" s="60" t="str">
        <f t="shared" si="25"/>
        <v/>
      </c>
      <c r="R207" s="61"/>
      <c r="S207" s="62"/>
      <c r="T207" s="80" t="s">
        <v>21</v>
      </c>
      <c r="U207" s="81"/>
      <c r="V207" s="99"/>
      <c r="W207" s="55"/>
      <c r="X207" s="55"/>
      <c r="Y207" s="56"/>
      <c r="Z207" s="55"/>
      <c r="AA207" s="56"/>
      <c r="AB207" s="55"/>
      <c r="AC207" s="57" t="str">
        <f t="shared" si="26"/>
        <v/>
      </c>
      <c r="AD207" s="57" t="str">
        <f t="shared" si="27"/>
        <v/>
      </c>
      <c r="AE207" s="57" t="str">
        <f xml:space="preserve">
IF(OR('Dados da OS'!$D$8=Parâmetros!$B$3,'Dados da OS'!$D$8=Parâmetros!$B$4),
  IF(OR(ISBLANK(X207),ISBLANK(Z207)),
     IF(OR(V207="ALI",V207="AIE"),"L",IF(ISBLANK(V207),"","A")),
     IF(V207="EE",IF(Z207&gt;=3,IF(X207&gt;=5,"H","A"),
     IF(Z207&gt;=2,IF(X207&gt;=16,"H",IF(X207&lt;=4,"L","A")),IF(X207&lt;=15,"L","A"))),
     IF(OR(V207="SE",V207="CE"),IF(Z207&gt;=4,IF(X207&gt;=6,"H","A"),IF(Z207&gt;=2,IF(X207&gt;=20,"H",IF(X207&lt;=5,"L","A")),IF(X207&lt;=19,"L","A"))),
     IF(OR(V207="ALI",V207="AIE"),IF(Z207&gt;=6,IF(X207&gt;=20,"H","A"),IF(Z207&gt;=2,IF(X207&gt;=51,"H",IF(X207&lt;=19,"L","A")),IF(X207&lt;=50,"L","A"))))))),
IF('Dados da OS'!$D$8=Parâmetros!$B$6,"Indicativa",
IF('Dados da OS'!$D$8=Parâmetros!$B$5,"PFS","")))</f>
        <v/>
      </c>
      <c r="AF207" s="57">
        <f>IFERROR(VLOOKUP(W207,'Fatores de Impacto e INMs'!$A$3:$D$32,3,0),1)</f>
        <v>1</v>
      </c>
      <c r="AG207" s="57">
        <f>IFERROR(VLOOKUP(W207,'Fatores de Impacto e INMs'!$A$3:$E$32,5,0),1)</f>
        <v>1</v>
      </c>
      <c r="AH207" s="82" t="str">
        <f xml:space="preserve">
IF(OR('Dados da OS'!$D$8="Selecione o tipo da contagem",ISBLANK('Dados da OS'!$D$8),V207="INM",V207="N/A",ISBLANK(V207),ISBLANK(W207),AG207="VF"),"-",
   IF('Dados da OS'!$D$8=Parâmetros!$B$3,
      IF(OR(ISBLANK(X207),ISBLANK(Z207)),"-",
         IF(AE207="L","Baixa",IF(AE207="A","Média",IF(AE207="H","Alta","-")))),
      IF('Dados da OS'!$D$8=Parâmetros!$B$4,
         IF(OR(V207="ALI",V207="AIE"),"Baixa",IF(OR(V207="EE",V207="SE",V207="CE"),"Média","-")),
         IF(OR('Dados da OS'!$D$8=Parâmetros!$B$5,'Dados da OS'!$D$8=Parâmetros!$B$6),"-"))))</f>
        <v>-</v>
      </c>
      <c r="AI207" s="83" t="str">
        <f xml:space="preserve">
IF(OR(ISBLANK(V207),ISBLANK(U207),ISBLANK(W207),V207="N/A",ISBLANK('Dados da OS'!$D$8)),"",
   IF(OR('Dados da OS'!$D$8=Parâmetros!$B$3,'Dados da OS'!$D$8=Parâmetros!$B$4),
      IF(OR(AND(V207="INM",AG207&lt;&gt;"VF"),AND(AG207="VF",V207&lt;&gt;"INM")),"",
        IF(AND(V207="INM",AG207="VF"),IF(ISBLANK(AB207),"",AF207*AB207),
        IF('Dados da OS'!$D$8=Parâmetros!$B$4,
           IF(OR(V207="CE",V207="EE"),4,IF(V207="SE",5,IF(V207="ALI",7,IF(V207="AIE",5,"")))),
        IF('Dados da OS'!$D$8=Parâmetros!$B$3,
           IF(OR(ISBLANK(X207),ISBLANK(Z207)),"",
              IF(V207="ALI",IF(AE207="L",7,IF(AE207="A",10,15)),
                 IF(V207="AIE",IF(AE207="L",5,IF(AE207="A",7,10)),
                    IF(V207="SE",IF(AE207="L",4,IF(AE207="A",5,7)),
                       IF(OR(V207="EE",V207="CE"),IF(AE207="L",3,IF(AE207="A",4,6)),""))))))))),
   IF('Dados da OS'!$D$8=Parâmetros!$B$5,
      IF(OR(AND(V207="INM",AG207&lt;&gt;"VF"),AND(AG207="VF",V207&lt;&gt;"INM")),"",
         IF(V207="INM",IF(AG207="VF",AF207*AB207,""),
            IF(V207="PE",4.6,
            IF(V207="AL",7,"")))),
   IF('Dados da OS'!$D$8=Parâmetros!$B$6,
      IF(V207="ALI",35,IF(V207="AIE",15,"")),""))
    )
)</f>
        <v/>
      </c>
      <c r="AJ207" s="82" t="str">
        <f t="shared" si="28"/>
        <v/>
      </c>
      <c r="AK207" s="84"/>
      <c r="AL207" s="85" t="s">
        <v>21</v>
      </c>
      <c r="AM207" s="86"/>
      <c r="AN207" s="85"/>
      <c r="AO207" s="87"/>
      <c r="AP207" s="85"/>
      <c r="AQ207" s="86"/>
      <c r="AR207" s="85"/>
    </row>
    <row r="208" spans="1:44" ht="15.75" customHeight="1">
      <c r="A208" s="54"/>
      <c r="B208" s="100"/>
      <c r="C208" s="55"/>
      <c r="D208" s="55"/>
      <c r="E208" s="56"/>
      <c r="F208" s="55"/>
      <c r="G208" s="56"/>
      <c r="H208" s="55"/>
      <c r="I208" s="64"/>
      <c r="J208" s="57" t="str">
        <f t="shared" si="23"/>
        <v/>
      </c>
      <c r="K208" s="57" t="str">
        <f t="shared" si="24"/>
        <v/>
      </c>
      <c r="L208" s="57" t="str">
        <f xml:space="preserve">
IF(OR('Dados da OS'!$D$8=Parâmetros!$B$3,'Dados da OS'!$D$8=Parâmetros!$B$4),
  IF(OR(ISBLANK(D208),ISBLANK(F208)),
     IF(OR(B208="ALI",B208="AIE"),"L",IF(ISBLANK(B208),"","A")),
     IF(B208="EE",IF(F208&gt;=3,IF(D208&gt;=5,"H","A"),
     IF(F208&gt;=2,IF(D208&gt;=16,"H",IF(D208&lt;=4,"L","A")),IF(D208&lt;=15,"L","A"))),
     IF(OR(B208="SE",B208="CE"),IF(F208&gt;=4,IF(D208&gt;=6,"H","A"),IF(F208&gt;=2,IF(D208&gt;=20,"H",IF(D208&lt;=5,"L","A")),IF(D208&lt;=19,"L","A"))),
     IF(OR(B208="ALI",B208="AIE"),IF(F208&gt;=6,IF(D208&gt;=20,"H","A"),IF(F208&gt;=2,IF(D208&gt;=51,"H",IF(D208&lt;=19,"L","A")),IF(D208&lt;=50,"L","A"))))))),
IF('Dados da OS'!$D$8=Parâmetros!$B$6,"Indicativa",
IF('Dados da OS'!$D$8=Parâmetros!$B$5,"PFS","")))</f>
        <v/>
      </c>
      <c r="M208" s="57">
        <f>IFERROR(VLOOKUP(C208,'Fatores de Impacto e INMs'!$A$3:$D$32,3,0),1)</f>
        <v>1</v>
      </c>
      <c r="N208" s="57">
        <f>IFERROR(VLOOKUP(C208,'Fatores de Impacto e INMs'!$A$3:$E$32,5,0),1)</f>
        <v>1</v>
      </c>
      <c r="O208" s="63" t="str">
        <f xml:space="preserve">
IF(OR('Dados da OS'!$D$8="Selecione o tipo da contagem",ISBLANK('Dados da OS'!$D$8),B208="INM",B208="N/A",ISBLANK(B208),ISBLANK(C208),N208="VF"),"-",
   IF('Dados da OS'!$D$8=Parâmetros!$B$3,
      IF(OR(ISBLANK(D208),ISBLANK(F208)),"-",
         IF(L208="L","Baixa",IF(L208="A","Média",IF(L208="H","Alta","-")))),
      IF('Dados da OS'!$D$8=Parâmetros!$B$4,
         IF(OR(B208="ALI",B208="AIE"),"Baixa",IF(OR(B208="EE",B208="SE",B208="CE"),"Média","-")),
         IF(OR('Dados da OS'!$D$8=Parâmetros!$B$5,'Dados da OS'!$D$8=Parâmetros!$B$6),"-"))))</f>
        <v>-</v>
      </c>
      <c r="P208" s="59" t="str">
        <f xml:space="preserve">
IF(OR(ISBLANK(B208),ISBLANK(C208),B208="N/A",ISBLANK('Dados da OS'!$D$8)),"",
   IF(OR('Dados da OS'!$D$8=Parâmetros!$B$3,'Dados da OS'!$D$8=Parâmetros!$B$4),
      IF(OR(AND(B208="INM",N208&lt;&gt;"VF"),AND(N208="VF",B208&lt;&gt;"INM")),"",
        IF(AND(B208="INM",N208="VF"),IF(ISBLANK(H208),"",M208*H208),
        IF('Dados da OS'!$D$8=Parâmetros!$B$4,
           IF(OR(B208="CE",B208="EE"),4,IF(B208="SE",5,IF(B208="ALI",7,IF(B208="AIE",5,"")))),
        IF('Dados da OS'!$D$8=Parâmetros!$B$3,
           IF(OR(ISBLANK(D208),ISBLANK(F208)),"",
              IF(B208="ALI",IF(L208="L",7,IF(L208="A",10,15)),
                 IF(B208="AIE",IF(L208="L",5,IF(L208="A",7,10)),
                    IF(B208="SE",IF(L208="L",4,IF(L208="A",5,7)),
                       IF(OR(B208="EE",B208="CE"),IF(L208="L",3,IF(L208="A",4,6)),""))))))))),
   IF('Dados da OS'!$D$8=Parâmetros!$B$5,
      IF(OR(AND(B208="INM",N208&lt;&gt;"VF"),AND(N208="VF",B208&lt;&gt;"INM")),"",
         IF(B208="INM",IF(N208="VF",M208*H208,""),
            IF(B208="PE",4.6,
            IF(B208="AL",7,"")))),
   IF('Dados da OS'!$D$8=Parâmetros!$B$6,
      IF(B208="ALI",35,IF(B208="AIE",15,"")),""))
    )
)</f>
        <v/>
      </c>
      <c r="Q208" s="60" t="str">
        <f t="shared" si="25"/>
        <v/>
      </c>
      <c r="R208" s="61"/>
      <c r="S208" s="62"/>
      <c r="T208" s="80" t="s">
        <v>21</v>
      </c>
      <c r="U208" s="81"/>
      <c r="V208" s="99"/>
      <c r="W208" s="55"/>
      <c r="X208" s="55"/>
      <c r="Y208" s="56"/>
      <c r="Z208" s="55"/>
      <c r="AA208" s="56"/>
      <c r="AB208" s="55"/>
      <c r="AC208" s="57" t="str">
        <f t="shared" si="26"/>
        <v/>
      </c>
      <c r="AD208" s="57" t="str">
        <f t="shared" si="27"/>
        <v/>
      </c>
      <c r="AE208" s="57" t="str">
        <f xml:space="preserve">
IF(OR('Dados da OS'!$D$8=Parâmetros!$B$3,'Dados da OS'!$D$8=Parâmetros!$B$4),
  IF(OR(ISBLANK(X208),ISBLANK(Z208)),
     IF(OR(V208="ALI",V208="AIE"),"L",IF(ISBLANK(V208),"","A")),
     IF(V208="EE",IF(Z208&gt;=3,IF(X208&gt;=5,"H","A"),
     IF(Z208&gt;=2,IF(X208&gt;=16,"H",IF(X208&lt;=4,"L","A")),IF(X208&lt;=15,"L","A"))),
     IF(OR(V208="SE",V208="CE"),IF(Z208&gt;=4,IF(X208&gt;=6,"H","A"),IF(Z208&gt;=2,IF(X208&gt;=20,"H",IF(X208&lt;=5,"L","A")),IF(X208&lt;=19,"L","A"))),
     IF(OR(V208="ALI",V208="AIE"),IF(Z208&gt;=6,IF(X208&gt;=20,"H","A"),IF(Z208&gt;=2,IF(X208&gt;=51,"H",IF(X208&lt;=19,"L","A")),IF(X208&lt;=50,"L","A"))))))),
IF('Dados da OS'!$D$8=Parâmetros!$B$6,"Indicativa",
IF('Dados da OS'!$D$8=Parâmetros!$B$5,"PFS","")))</f>
        <v/>
      </c>
      <c r="AF208" s="57">
        <f>IFERROR(VLOOKUP(W208,'Fatores de Impacto e INMs'!$A$3:$D$32,3,0),1)</f>
        <v>1</v>
      </c>
      <c r="AG208" s="57">
        <f>IFERROR(VLOOKUP(W208,'Fatores de Impacto e INMs'!$A$3:$E$32,5,0),1)</f>
        <v>1</v>
      </c>
      <c r="AH208" s="82" t="str">
        <f xml:space="preserve">
IF(OR('Dados da OS'!$D$8="Selecione o tipo da contagem",ISBLANK('Dados da OS'!$D$8),V208="INM",V208="N/A",ISBLANK(V208),ISBLANK(W208),AG208="VF"),"-",
   IF('Dados da OS'!$D$8=Parâmetros!$B$3,
      IF(OR(ISBLANK(X208),ISBLANK(Z208)),"-",
         IF(AE208="L","Baixa",IF(AE208="A","Média",IF(AE208="H","Alta","-")))),
      IF('Dados da OS'!$D$8=Parâmetros!$B$4,
         IF(OR(V208="ALI",V208="AIE"),"Baixa",IF(OR(V208="EE",V208="SE",V208="CE"),"Média","-")),
         IF(OR('Dados da OS'!$D$8=Parâmetros!$B$5,'Dados da OS'!$D$8=Parâmetros!$B$6),"-"))))</f>
        <v>-</v>
      </c>
      <c r="AI208" s="83" t="str">
        <f xml:space="preserve">
IF(OR(ISBLANK(V208),ISBLANK(U208),ISBLANK(W208),V208="N/A",ISBLANK('Dados da OS'!$D$8)),"",
   IF(OR('Dados da OS'!$D$8=Parâmetros!$B$3,'Dados da OS'!$D$8=Parâmetros!$B$4),
      IF(OR(AND(V208="INM",AG208&lt;&gt;"VF"),AND(AG208="VF",V208&lt;&gt;"INM")),"",
        IF(AND(V208="INM",AG208="VF"),IF(ISBLANK(AB208),"",AF208*AB208),
        IF('Dados da OS'!$D$8=Parâmetros!$B$4,
           IF(OR(V208="CE",V208="EE"),4,IF(V208="SE",5,IF(V208="ALI",7,IF(V208="AIE",5,"")))),
        IF('Dados da OS'!$D$8=Parâmetros!$B$3,
           IF(OR(ISBLANK(X208),ISBLANK(Z208)),"",
              IF(V208="ALI",IF(AE208="L",7,IF(AE208="A",10,15)),
                 IF(V208="AIE",IF(AE208="L",5,IF(AE208="A",7,10)),
                    IF(V208="SE",IF(AE208="L",4,IF(AE208="A",5,7)),
                       IF(OR(V208="EE",V208="CE"),IF(AE208="L",3,IF(AE208="A",4,6)),""))))))))),
   IF('Dados da OS'!$D$8=Parâmetros!$B$5,
      IF(OR(AND(V208="INM",AG208&lt;&gt;"VF"),AND(AG208="VF",V208&lt;&gt;"INM")),"",
         IF(V208="INM",IF(AG208="VF",AF208*AB208,""),
            IF(V208="PE",4.6,
            IF(V208="AL",7,"")))),
   IF('Dados da OS'!$D$8=Parâmetros!$B$6,
      IF(V208="ALI",35,IF(V208="AIE",15,"")),""))
    )
)</f>
        <v/>
      </c>
      <c r="AJ208" s="82" t="str">
        <f t="shared" si="28"/>
        <v/>
      </c>
      <c r="AK208" s="84"/>
      <c r="AL208" s="85" t="s">
        <v>21</v>
      </c>
      <c r="AM208" s="86"/>
      <c r="AN208" s="85"/>
      <c r="AO208" s="87"/>
      <c r="AP208" s="85"/>
      <c r="AQ208" s="86"/>
      <c r="AR208" s="85"/>
    </row>
    <row r="209" spans="1:44" ht="15.75" customHeight="1">
      <c r="A209" s="54"/>
      <c r="B209" s="100"/>
      <c r="C209" s="55"/>
      <c r="D209" s="55"/>
      <c r="E209" s="56"/>
      <c r="F209" s="55"/>
      <c r="G209" s="56"/>
      <c r="H209" s="55"/>
      <c r="I209" s="64"/>
      <c r="J209" s="57" t="str">
        <f t="shared" si="23"/>
        <v/>
      </c>
      <c r="K209" s="57" t="str">
        <f t="shared" si="24"/>
        <v/>
      </c>
      <c r="L209" s="57" t="str">
        <f xml:space="preserve">
IF(OR('Dados da OS'!$D$8=Parâmetros!$B$3,'Dados da OS'!$D$8=Parâmetros!$B$4),
  IF(OR(ISBLANK(D209),ISBLANK(F209)),
     IF(OR(B209="ALI",B209="AIE"),"L",IF(ISBLANK(B209),"","A")),
     IF(B209="EE",IF(F209&gt;=3,IF(D209&gt;=5,"H","A"),
     IF(F209&gt;=2,IF(D209&gt;=16,"H",IF(D209&lt;=4,"L","A")),IF(D209&lt;=15,"L","A"))),
     IF(OR(B209="SE",B209="CE"),IF(F209&gt;=4,IF(D209&gt;=6,"H","A"),IF(F209&gt;=2,IF(D209&gt;=20,"H",IF(D209&lt;=5,"L","A")),IF(D209&lt;=19,"L","A"))),
     IF(OR(B209="ALI",B209="AIE"),IF(F209&gt;=6,IF(D209&gt;=20,"H","A"),IF(F209&gt;=2,IF(D209&gt;=51,"H",IF(D209&lt;=19,"L","A")),IF(D209&lt;=50,"L","A"))))))),
IF('Dados da OS'!$D$8=Parâmetros!$B$6,"Indicativa",
IF('Dados da OS'!$D$8=Parâmetros!$B$5,"PFS","")))</f>
        <v/>
      </c>
      <c r="M209" s="57">
        <f>IFERROR(VLOOKUP(C209,'Fatores de Impacto e INMs'!$A$3:$D$32,3,0),1)</f>
        <v>1</v>
      </c>
      <c r="N209" s="57">
        <f>IFERROR(VLOOKUP(C209,'Fatores de Impacto e INMs'!$A$3:$E$32,5,0),1)</f>
        <v>1</v>
      </c>
      <c r="O209" s="63" t="str">
        <f xml:space="preserve">
IF(OR('Dados da OS'!$D$8="Selecione o tipo da contagem",ISBLANK('Dados da OS'!$D$8),B209="INM",B209="N/A",ISBLANK(B209),ISBLANK(C209),N209="VF"),"-",
   IF('Dados da OS'!$D$8=Parâmetros!$B$3,
      IF(OR(ISBLANK(D209),ISBLANK(F209)),"-",
         IF(L209="L","Baixa",IF(L209="A","Média",IF(L209="H","Alta","-")))),
      IF('Dados da OS'!$D$8=Parâmetros!$B$4,
         IF(OR(B209="ALI",B209="AIE"),"Baixa",IF(OR(B209="EE",B209="SE",B209="CE"),"Média","-")),
         IF(OR('Dados da OS'!$D$8=Parâmetros!$B$5,'Dados da OS'!$D$8=Parâmetros!$B$6),"-"))))</f>
        <v>-</v>
      </c>
      <c r="P209" s="59" t="str">
        <f xml:space="preserve">
IF(OR(ISBLANK(B209),ISBLANK(C209),B209="N/A",ISBLANK('Dados da OS'!$D$8)),"",
   IF(OR('Dados da OS'!$D$8=Parâmetros!$B$3,'Dados da OS'!$D$8=Parâmetros!$B$4),
      IF(OR(AND(B209="INM",N209&lt;&gt;"VF"),AND(N209="VF",B209&lt;&gt;"INM")),"",
        IF(AND(B209="INM",N209="VF"),IF(ISBLANK(H209),"",M209*H209),
        IF('Dados da OS'!$D$8=Parâmetros!$B$4,
           IF(OR(B209="CE",B209="EE"),4,IF(B209="SE",5,IF(B209="ALI",7,IF(B209="AIE",5,"")))),
        IF('Dados da OS'!$D$8=Parâmetros!$B$3,
           IF(OR(ISBLANK(D209),ISBLANK(F209)),"",
              IF(B209="ALI",IF(L209="L",7,IF(L209="A",10,15)),
                 IF(B209="AIE",IF(L209="L",5,IF(L209="A",7,10)),
                    IF(B209="SE",IF(L209="L",4,IF(L209="A",5,7)),
                       IF(OR(B209="EE",B209="CE"),IF(L209="L",3,IF(L209="A",4,6)),""))))))))),
   IF('Dados da OS'!$D$8=Parâmetros!$B$5,
      IF(OR(AND(B209="INM",N209&lt;&gt;"VF"),AND(N209="VF",B209&lt;&gt;"INM")),"",
         IF(B209="INM",IF(N209="VF",M209*H209,""),
            IF(B209="PE",4.6,
            IF(B209="AL",7,"")))),
   IF('Dados da OS'!$D$8=Parâmetros!$B$6,
      IF(B209="ALI",35,IF(B209="AIE",15,"")),""))
    )
)</f>
        <v/>
      </c>
      <c r="Q209" s="60" t="str">
        <f t="shared" si="25"/>
        <v/>
      </c>
      <c r="R209" s="61"/>
      <c r="S209" s="62"/>
      <c r="T209" s="80" t="s">
        <v>21</v>
      </c>
      <c r="U209" s="81"/>
      <c r="V209" s="99"/>
      <c r="W209" s="55"/>
      <c r="X209" s="55"/>
      <c r="Y209" s="56"/>
      <c r="Z209" s="55"/>
      <c r="AA209" s="56"/>
      <c r="AB209" s="55"/>
      <c r="AC209" s="57" t="str">
        <f t="shared" si="26"/>
        <v/>
      </c>
      <c r="AD209" s="57" t="str">
        <f t="shared" si="27"/>
        <v/>
      </c>
      <c r="AE209" s="57" t="str">
        <f xml:space="preserve">
IF(OR('Dados da OS'!$D$8=Parâmetros!$B$3,'Dados da OS'!$D$8=Parâmetros!$B$4),
  IF(OR(ISBLANK(X209),ISBLANK(Z209)),
     IF(OR(V209="ALI",V209="AIE"),"L",IF(ISBLANK(V209),"","A")),
     IF(V209="EE",IF(Z209&gt;=3,IF(X209&gt;=5,"H","A"),
     IF(Z209&gt;=2,IF(X209&gt;=16,"H",IF(X209&lt;=4,"L","A")),IF(X209&lt;=15,"L","A"))),
     IF(OR(V209="SE",V209="CE"),IF(Z209&gt;=4,IF(X209&gt;=6,"H","A"),IF(Z209&gt;=2,IF(X209&gt;=20,"H",IF(X209&lt;=5,"L","A")),IF(X209&lt;=19,"L","A"))),
     IF(OR(V209="ALI",V209="AIE"),IF(Z209&gt;=6,IF(X209&gt;=20,"H","A"),IF(Z209&gt;=2,IF(X209&gt;=51,"H",IF(X209&lt;=19,"L","A")),IF(X209&lt;=50,"L","A"))))))),
IF('Dados da OS'!$D$8=Parâmetros!$B$6,"Indicativa",
IF('Dados da OS'!$D$8=Parâmetros!$B$5,"PFS","")))</f>
        <v/>
      </c>
      <c r="AF209" s="57">
        <f>IFERROR(VLOOKUP(W209,'Fatores de Impacto e INMs'!$A$3:$D$32,3,0),1)</f>
        <v>1</v>
      </c>
      <c r="AG209" s="57">
        <f>IFERROR(VLOOKUP(W209,'Fatores de Impacto e INMs'!$A$3:$E$32,5,0),1)</f>
        <v>1</v>
      </c>
      <c r="AH209" s="82" t="str">
        <f xml:space="preserve">
IF(OR('Dados da OS'!$D$8="Selecione o tipo da contagem",ISBLANK('Dados da OS'!$D$8),V209="INM",V209="N/A",ISBLANK(V209),ISBLANK(W209),AG209="VF"),"-",
   IF('Dados da OS'!$D$8=Parâmetros!$B$3,
      IF(OR(ISBLANK(X209),ISBLANK(Z209)),"-",
         IF(AE209="L","Baixa",IF(AE209="A","Média",IF(AE209="H","Alta","-")))),
      IF('Dados da OS'!$D$8=Parâmetros!$B$4,
         IF(OR(V209="ALI",V209="AIE"),"Baixa",IF(OR(V209="EE",V209="SE",V209="CE"),"Média","-")),
         IF(OR('Dados da OS'!$D$8=Parâmetros!$B$5,'Dados da OS'!$D$8=Parâmetros!$B$6),"-"))))</f>
        <v>-</v>
      </c>
      <c r="AI209" s="83" t="str">
        <f xml:space="preserve">
IF(OR(ISBLANK(V209),ISBLANK(U209),ISBLANK(W209),V209="N/A",ISBLANK('Dados da OS'!$D$8)),"",
   IF(OR('Dados da OS'!$D$8=Parâmetros!$B$3,'Dados da OS'!$D$8=Parâmetros!$B$4),
      IF(OR(AND(V209="INM",AG209&lt;&gt;"VF"),AND(AG209="VF",V209&lt;&gt;"INM")),"",
        IF(AND(V209="INM",AG209="VF"),IF(ISBLANK(AB209),"",AF209*AB209),
        IF('Dados da OS'!$D$8=Parâmetros!$B$4,
           IF(OR(V209="CE",V209="EE"),4,IF(V209="SE",5,IF(V209="ALI",7,IF(V209="AIE",5,"")))),
        IF('Dados da OS'!$D$8=Parâmetros!$B$3,
           IF(OR(ISBLANK(X209),ISBLANK(Z209)),"",
              IF(V209="ALI",IF(AE209="L",7,IF(AE209="A",10,15)),
                 IF(V209="AIE",IF(AE209="L",5,IF(AE209="A",7,10)),
                    IF(V209="SE",IF(AE209="L",4,IF(AE209="A",5,7)),
                       IF(OR(V209="EE",V209="CE"),IF(AE209="L",3,IF(AE209="A",4,6)),""))))))))),
   IF('Dados da OS'!$D$8=Parâmetros!$B$5,
      IF(OR(AND(V209="INM",AG209&lt;&gt;"VF"),AND(AG209="VF",V209&lt;&gt;"INM")),"",
         IF(V209="INM",IF(AG209="VF",AF209*AB209,""),
            IF(V209="PE",4.6,
            IF(V209="AL",7,"")))),
   IF('Dados da OS'!$D$8=Parâmetros!$B$6,
      IF(V209="ALI",35,IF(V209="AIE",15,"")),""))
    )
)</f>
        <v/>
      </c>
      <c r="AJ209" s="82" t="str">
        <f t="shared" si="28"/>
        <v/>
      </c>
      <c r="AK209" s="84"/>
      <c r="AL209" s="85" t="s">
        <v>21</v>
      </c>
      <c r="AM209" s="86"/>
      <c r="AN209" s="85"/>
      <c r="AO209" s="87"/>
      <c r="AP209" s="85"/>
      <c r="AQ209" s="86"/>
      <c r="AR209" s="85"/>
    </row>
    <row r="210" spans="1:44" ht="15.75" customHeight="1">
      <c r="A210" s="54"/>
      <c r="B210" s="100"/>
      <c r="C210" s="55"/>
      <c r="D210" s="55"/>
      <c r="E210" s="56"/>
      <c r="F210" s="55"/>
      <c r="G210" s="56"/>
      <c r="H210" s="55"/>
      <c r="I210" s="64"/>
      <c r="J210" s="57" t="str">
        <f t="shared" si="23"/>
        <v/>
      </c>
      <c r="K210" s="57" t="str">
        <f t="shared" si="24"/>
        <v/>
      </c>
      <c r="L210" s="57" t="str">
        <f xml:space="preserve">
IF(OR('Dados da OS'!$D$8=Parâmetros!$B$3,'Dados da OS'!$D$8=Parâmetros!$B$4),
  IF(OR(ISBLANK(D210),ISBLANK(F210)),
     IF(OR(B210="ALI",B210="AIE"),"L",IF(ISBLANK(B210),"","A")),
     IF(B210="EE",IF(F210&gt;=3,IF(D210&gt;=5,"H","A"),
     IF(F210&gt;=2,IF(D210&gt;=16,"H",IF(D210&lt;=4,"L","A")),IF(D210&lt;=15,"L","A"))),
     IF(OR(B210="SE",B210="CE"),IF(F210&gt;=4,IF(D210&gt;=6,"H","A"),IF(F210&gt;=2,IF(D210&gt;=20,"H",IF(D210&lt;=5,"L","A")),IF(D210&lt;=19,"L","A"))),
     IF(OR(B210="ALI",B210="AIE"),IF(F210&gt;=6,IF(D210&gt;=20,"H","A"),IF(F210&gt;=2,IF(D210&gt;=51,"H",IF(D210&lt;=19,"L","A")),IF(D210&lt;=50,"L","A"))))))),
IF('Dados da OS'!$D$8=Parâmetros!$B$6,"Indicativa",
IF('Dados da OS'!$D$8=Parâmetros!$B$5,"PFS","")))</f>
        <v/>
      </c>
      <c r="M210" s="57">
        <f>IFERROR(VLOOKUP(C210,'Fatores de Impacto e INMs'!$A$3:$D$32,3,0),1)</f>
        <v>1</v>
      </c>
      <c r="N210" s="57">
        <f>IFERROR(VLOOKUP(C210,'Fatores de Impacto e INMs'!$A$3:$E$32,5,0),1)</f>
        <v>1</v>
      </c>
      <c r="O210" s="63" t="str">
        <f xml:space="preserve">
IF(OR('Dados da OS'!$D$8="Selecione o tipo da contagem",ISBLANK('Dados da OS'!$D$8),B210="INM",B210="N/A",ISBLANK(B210),ISBLANK(C210),N210="VF"),"-",
   IF('Dados da OS'!$D$8=Parâmetros!$B$3,
      IF(OR(ISBLANK(D210),ISBLANK(F210)),"-",
         IF(L210="L","Baixa",IF(L210="A","Média",IF(L210="H","Alta","-")))),
      IF('Dados da OS'!$D$8=Parâmetros!$B$4,
         IF(OR(B210="ALI",B210="AIE"),"Baixa",IF(OR(B210="EE",B210="SE",B210="CE"),"Média","-")),
         IF(OR('Dados da OS'!$D$8=Parâmetros!$B$5,'Dados da OS'!$D$8=Parâmetros!$B$6),"-"))))</f>
        <v>-</v>
      </c>
      <c r="P210" s="59" t="str">
        <f xml:space="preserve">
IF(OR(ISBLANK(B210),ISBLANK(C210),B210="N/A",ISBLANK('Dados da OS'!$D$8)),"",
   IF(OR('Dados da OS'!$D$8=Parâmetros!$B$3,'Dados da OS'!$D$8=Parâmetros!$B$4),
      IF(OR(AND(B210="INM",N210&lt;&gt;"VF"),AND(N210="VF",B210&lt;&gt;"INM")),"",
        IF(AND(B210="INM",N210="VF"),IF(ISBLANK(H210),"",M210*H210),
        IF('Dados da OS'!$D$8=Parâmetros!$B$4,
           IF(OR(B210="CE",B210="EE"),4,IF(B210="SE",5,IF(B210="ALI",7,IF(B210="AIE",5,"")))),
        IF('Dados da OS'!$D$8=Parâmetros!$B$3,
           IF(OR(ISBLANK(D210),ISBLANK(F210)),"",
              IF(B210="ALI",IF(L210="L",7,IF(L210="A",10,15)),
                 IF(B210="AIE",IF(L210="L",5,IF(L210="A",7,10)),
                    IF(B210="SE",IF(L210="L",4,IF(L210="A",5,7)),
                       IF(OR(B210="EE",B210="CE"),IF(L210="L",3,IF(L210="A",4,6)),""))))))))),
   IF('Dados da OS'!$D$8=Parâmetros!$B$5,
      IF(OR(AND(B210="INM",N210&lt;&gt;"VF"),AND(N210="VF",B210&lt;&gt;"INM")),"",
         IF(B210="INM",IF(N210="VF",M210*H210,""),
            IF(B210="PE",4.6,
            IF(B210="AL",7,"")))),
   IF('Dados da OS'!$D$8=Parâmetros!$B$6,
      IF(B210="ALI",35,IF(B210="AIE",15,"")),""))
    )
)</f>
        <v/>
      </c>
      <c r="Q210" s="60" t="str">
        <f t="shared" si="25"/>
        <v/>
      </c>
      <c r="R210" s="61"/>
      <c r="S210" s="62"/>
      <c r="T210" s="80" t="s">
        <v>21</v>
      </c>
      <c r="U210" s="81"/>
      <c r="V210" s="99"/>
      <c r="W210" s="55"/>
      <c r="X210" s="55"/>
      <c r="Y210" s="56"/>
      <c r="Z210" s="55"/>
      <c r="AA210" s="56"/>
      <c r="AB210" s="55"/>
      <c r="AC210" s="57" t="str">
        <f t="shared" si="26"/>
        <v/>
      </c>
      <c r="AD210" s="57" t="str">
        <f t="shared" si="27"/>
        <v/>
      </c>
      <c r="AE210" s="57" t="str">
        <f xml:space="preserve">
IF(OR('Dados da OS'!$D$8=Parâmetros!$B$3,'Dados da OS'!$D$8=Parâmetros!$B$4),
  IF(OR(ISBLANK(X210),ISBLANK(Z210)),
     IF(OR(V210="ALI",V210="AIE"),"L",IF(ISBLANK(V210),"","A")),
     IF(V210="EE",IF(Z210&gt;=3,IF(X210&gt;=5,"H","A"),
     IF(Z210&gt;=2,IF(X210&gt;=16,"H",IF(X210&lt;=4,"L","A")),IF(X210&lt;=15,"L","A"))),
     IF(OR(V210="SE",V210="CE"),IF(Z210&gt;=4,IF(X210&gt;=6,"H","A"),IF(Z210&gt;=2,IF(X210&gt;=20,"H",IF(X210&lt;=5,"L","A")),IF(X210&lt;=19,"L","A"))),
     IF(OR(V210="ALI",V210="AIE"),IF(Z210&gt;=6,IF(X210&gt;=20,"H","A"),IF(Z210&gt;=2,IF(X210&gt;=51,"H",IF(X210&lt;=19,"L","A")),IF(X210&lt;=50,"L","A"))))))),
IF('Dados da OS'!$D$8=Parâmetros!$B$6,"Indicativa",
IF('Dados da OS'!$D$8=Parâmetros!$B$5,"PFS","")))</f>
        <v/>
      </c>
      <c r="AF210" s="57">
        <f>IFERROR(VLOOKUP(W210,'Fatores de Impacto e INMs'!$A$3:$D$32,3,0),1)</f>
        <v>1</v>
      </c>
      <c r="AG210" s="57">
        <f>IFERROR(VLOOKUP(W210,'Fatores de Impacto e INMs'!$A$3:$E$32,5,0),1)</f>
        <v>1</v>
      </c>
      <c r="AH210" s="82" t="str">
        <f xml:space="preserve">
IF(OR('Dados da OS'!$D$8="Selecione o tipo da contagem",ISBLANK('Dados da OS'!$D$8),V210="INM",V210="N/A",ISBLANK(V210),ISBLANK(W210),AG210="VF"),"-",
   IF('Dados da OS'!$D$8=Parâmetros!$B$3,
      IF(OR(ISBLANK(X210),ISBLANK(Z210)),"-",
         IF(AE210="L","Baixa",IF(AE210="A","Média",IF(AE210="H","Alta","-")))),
      IF('Dados da OS'!$D$8=Parâmetros!$B$4,
         IF(OR(V210="ALI",V210="AIE"),"Baixa",IF(OR(V210="EE",V210="SE",V210="CE"),"Média","-")),
         IF(OR('Dados da OS'!$D$8=Parâmetros!$B$5,'Dados da OS'!$D$8=Parâmetros!$B$6),"-"))))</f>
        <v>-</v>
      </c>
      <c r="AI210" s="83" t="str">
        <f xml:space="preserve">
IF(OR(ISBLANK(V210),ISBLANK(U210),ISBLANK(W210),V210="N/A",ISBLANK('Dados da OS'!$D$8)),"",
   IF(OR('Dados da OS'!$D$8=Parâmetros!$B$3,'Dados da OS'!$D$8=Parâmetros!$B$4),
      IF(OR(AND(V210="INM",AG210&lt;&gt;"VF"),AND(AG210="VF",V210&lt;&gt;"INM")),"",
        IF(AND(V210="INM",AG210="VF"),IF(ISBLANK(AB210),"",AF210*AB210),
        IF('Dados da OS'!$D$8=Parâmetros!$B$4,
           IF(OR(V210="CE",V210="EE"),4,IF(V210="SE",5,IF(V210="ALI",7,IF(V210="AIE",5,"")))),
        IF('Dados da OS'!$D$8=Parâmetros!$B$3,
           IF(OR(ISBLANK(X210),ISBLANK(Z210)),"",
              IF(V210="ALI",IF(AE210="L",7,IF(AE210="A",10,15)),
                 IF(V210="AIE",IF(AE210="L",5,IF(AE210="A",7,10)),
                    IF(V210="SE",IF(AE210="L",4,IF(AE210="A",5,7)),
                       IF(OR(V210="EE",V210="CE"),IF(AE210="L",3,IF(AE210="A",4,6)),""))))))))),
   IF('Dados da OS'!$D$8=Parâmetros!$B$5,
      IF(OR(AND(V210="INM",AG210&lt;&gt;"VF"),AND(AG210="VF",V210&lt;&gt;"INM")),"",
         IF(V210="INM",IF(AG210="VF",AF210*AB210,""),
            IF(V210="PE",4.6,
            IF(V210="AL",7,"")))),
   IF('Dados da OS'!$D$8=Parâmetros!$B$6,
      IF(V210="ALI",35,IF(V210="AIE",15,"")),""))
    )
)</f>
        <v/>
      </c>
      <c r="AJ210" s="82" t="str">
        <f t="shared" si="28"/>
        <v/>
      </c>
      <c r="AK210" s="84"/>
      <c r="AL210" s="85" t="s">
        <v>21</v>
      </c>
      <c r="AM210" s="86"/>
      <c r="AN210" s="85"/>
      <c r="AO210" s="87"/>
      <c r="AP210" s="85"/>
      <c r="AQ210" s="86"/>
      <c r="AR210" s="85"/>
    </row>
    <row r="211" spans="1:44" ht="15.75" customHeight="1">
      <c r="A211" s="54"/>
      <c r="B211" s="100"/>
      <c r="C211" s="55"/>
      <c r="D211" s="55"/>
      <c r="E211" s="56"/>
      <c r="F211" s="55"/>
      <c r="G211" s="56"/>
      <c r="H211" s="55"/>
      <c r="I211" s="64"/>
      <c r="J211" s="57" t="str">
        <f t="shared" si="23"/>
        <v/>
      </c>
      <c r="K211" s="57" t="str">
        <f t="shared" si="24"/>
        <v/>
      </c>
      <c r="L211" s="57" t="str">
        <f xml:space="preserve">
IF(OR('Dados da OS'!$D$8=Parâmetros!$B$3,'Dados da OS'!$D$8=Parâmetros!$B$4),
  IF(OR(ISBLANK(D211),ISBLANK(F211)),
     IF(OR(B211="ALI",B211="AIE"),"L",IF(ISBLANK(B211),"","A")),
     IF(B211="EE",IF(F211&gt;=3,IF(D211&gt;=5,"H","A"),
     IF(F211&gt;=2,IF(D211&gt;=16,"H",IF(D211&lt;=4,"L","A")),IF(D211&lt;=15,"L","A"))),
     IF(OR(B211="SE",B211="CE"),IF(F211&gt;=4,IF(D211&gt;=6,"H","A"),IF(F211&gt;=2,IF(D211&gt;=20,"H",IF(D211&lt;=5,"L","A")),IF(D211&lt;=19,"L","A"))),
     IF(OR(B211="ALI",B211="AIE"),IF(F211&gt;=6,IF(D211&gt;=20,"H","A"),IF(F211&gt;=2,IF(D211&gt;=51,"H",IF(D211&lt;=19,"L","A")),IF(D211&lt;=50,"L","A"))))))),
IF('Dados da OS'!$D$8=Parâmetros!$B$6,"Indicativa",
IF('Dados da OS'!$D$8=Parâmetros!$B$5,"PFS","")))</f>
        <v/>
      </c>
      <c r="M211" s="57">
        <f>IFERROR(VLOOKUP(C211,'Fatores de Impacto e INMs'!$A$3:$D$32,3,0),1)</f>
        <v>1</v>
      </c>
      <c r="N211" s="57">
        <f>IFERROR(VLOOKUP(C211,'Fatores de Impacto e INMs'!$A$3:$E$32,5,0),1)</f>
        <v>1</v>
      </c>
      <c r="O211" s="63" t="str">
        <f xml:space="preserve">
IF(OR('Dados da OS'!$D$8="Selecione o tipo da contagem",ISBLANK('Dados da OS'!$D$8),B211="INM",B211="N/A",ISBLANK(B211),ISBLANK(C211),N211="VF"),"-",
   IF('Dados da OS'!$D$8=Parâmetros!$B$3,
      IF(OR(ISBLANK(D211),ISBLANK(F211)),"-",
         IF(L211="L","Baixa",IF(L211="A","Média",IF(L211="H","Alta","-")))),
      IF('Dados da OS'!$D$8=Parâmetros!$B$4,
         IF(OR(B211="ALI",B211="AIE"),"Baixa",IF(OR(B211="EE",B211="SE",B211="CE"),"Média","-")),
         IF(OR('Dados da OS'!$D$8=Parâmetros!$B$5,'Dados da OS'!$D$8=Parâmetros!$B$6),"-"))))</f>
        <v>-</v>
      </c>
      <c r="P211" s="59" t="str">
        <f xml:space="preserve">
IF(OR(ISBLANK(B211),ISBLANK(C211),B211="N/A",ISBLANK('Dados da OS'!$D$8)),"",
   IF(OR('Dados da OS'!$D$8=Parâmetros!$B$3,'Dados da OS'!$D$8=Parâmetros!$B$4),
      IF(OR(AND(B211="INM",N211&lt;&gt;"VF"),AND(N211="VF",B211&lt;&gt;"INM")),"",
        IF(AND(B211="INM",N211="VF"),IF(ISBLANK(H211),"",M211*H211),
        IF('Dados da OS'!$D$8=Parâmetros!$B$4,
           IF(OR(B211="CE",B211="EE"),4,IF(B211="SE",5,IF(B211="ALI",7,IF(B211="AIE",5,"")))),
        IF('Dados da OS'!$D$8=Parâmetros!$B$3,
           IF(OR(ISBLANK(D211),ISBLANK(F211)),"",
              IF(B211="ALI",IF(L211="L",7,IF(L211="A",10,15)),
                 IF(B211="AIE",IF(L211="L",5,IF(L211="A",7,10)),
                    IF(B211="SE",IF(L211="L",4,IF(L211="A",5,7)),
                       IF(OR(B211="EE",B211="CE"),IF(L211="L",3,IF(L211="A",4,6)),""))))))))),
   IF('Dados da OS'!$D$8=Parâmetros!$B$5,
      IF(OR(AND(B211="INM",N211&lt;&gt;"VF"),AND(N211="VF",B211&lt;&gt;"INM")),"",
         IF(B211="INM",IF(N211="VF",M211*H211,""),
            IF(B211="PE",4.6,
            IF(B211="AL",7,"")))),
   IF('Dados da OS'!$D$8=Parâmetros!$B$6,
      IF(B211="ALI",35,IF(B211="AIE",15,"")),""))
    )
)</f>
        <v/>
      </c>
      <c r="Q211" s="60" t="str">
        <f t="shared" si="25"/>
        <v/>
      </c>
      <c r="R211" s="61"/>
      <c r="S211" s="62"/>
      <c r="T211" s="80" t="s">
        <v>21</v>
      </c>
      <c r="U211" s="81"/>
      <c r="V211" s="99"/>
      <c r="W211" s="55"/>
      <c r="X211" s="55"/>
      <c r="Y211" s="56"/>
      <c r="Z211" s="55"/>
      <c r="AA211" s="56"/>
      <c r="AB211" s="55"/>
      <c r="AC211" s="57" t="str">
        <f t="shared" si="26"/>
        <v/>
      </c>
      <c r="AD211" s="57" t="str">
        <f t="shared" si="27"/>
        <v/>
      </c>
      <c r="AE211" s="57" t="str">
        <f xml:space="preserve">
IF(OR('Dados da OS'!$D$8=Parâmetros!$B$3,'Dados da OS'!$D$8=Parâmetros!$B$4),
  IF(OR(ISBLANK(X211),ISBLANK(Z211)),
     IF(OR(V211="ALI",V211="AIE"),"L",IF(ISBLANK(V211),"","A")),
     IF(V211="EE",IF(Z211&gt;=3,IF(X211&gt;=5,"H","A"),
     IF(Z211&gt;=2,IF(X211&gt;=16,"H",IF(X211&lt;=4,"L","A")),IF(X211&lt;=15,"L","A"))),
     IF(OR(V211="SE",V211="CE"),IF(Z211&gt;=4,IF(X211&gt;=6,"H","A"),IF(Z211&gt;=2,IF(X211&gt;=20,"H",IF(X211&lt;=5,"L","A")),IF(X211&lt;=19,"L","A"))),
     IF(OR(V211="ALI",V211="AIE"),IF(Z211&gt;=6,IF(X211&gt;=20,"H","A"),IF(Z211&gt;=2,IF(X211&gt;=51,"H",IF(X211&lt;=19,"L","A")),IF(X211&lt;=50,"L","A"))))))),
IF('Dados da OS'!$D$8=Parâmetros!$B$6,"Indicativa",
IF('Dados da OS'!$D$8=Parâmetros!$B$5,"PFS","")))</f>
        <v/>
      </c>
      <c r="AF211" s="57">
        <f>IFERROR(VLOOKUP(W211,'Fatores de Impacto e INMs'!$A$3:$D$32,3,0),1)</f>
        <v>1</v>
      </c>
      <c r="AG211" s="57">
        <f>IFERROR(VLOOKUP(W211,'Fatores de Impacto e INMs'!$A$3:$E$32,5,0),1)</f>
        <v>1</v>
      </c>
      <c r="AH211" s="82" t="str">
        <f xml:space="preserve">
IF(OR('Dados da OS'!$D$8="Selecione o tipo da contagem",ISBLANK('Dados da OS'!$D$8),V211="INM",V211="N/A",ISBLANK(V211),ISBLANK(W211),AG211="VF"),"-",
   IF('Dados da OS'!$D$8=Parâmetros!$B$3,
      IF(OR(ISBLANK(X211),ISBLANK(Z211)),"-",
         IF(AE211="L","Baixa",IF(AE211="A","Média",IF(AE211="H","Alta","-")))),
      IF('Dados da OS'!$D$8=Parâmetros!$B$4,
         IF(OR(V211="ALI",V211="AIE"),"Baixa",IF(OR(V211="EE",V211="SE",V211="CE"),"Média","-")),
         IF(OR('Dados da OS'!$D$8=Parâmetros!$B$5,'Dados da OS'!$D$8=Parâmetros!$B$6),"-"))))</f>
        <v>-</v>
      </c>
      <c r="AI211" s="83" t="str">
        <f xml:space="preserve">
IF(OR(ISBLANK(V211),ISBLANK(U211),ISBLANK(W211),V211="N/A",ISBLANK('Dados da OS'!$D$8)),"",
   IF(OR('Dados da OS'!$D$8=Parâmetros!$B$3,'Dados da OS'!$D$8=Parâmetros!$B$4),
      IF(OR(AND(V211="INM",AG211&lt;&gt;"VF"),AND(AG211="VF",V211&lt;&gt;"INM")),"",
        IF(AND(V211="INM",AG211="VF"),IF(ISBLANK(AB211),"",AF211*AB211),
        IF('Dados da OS'!$D$8=Parâmetros!$B$4,
           IF(OR(V211="CE",V211="EE"),4,IF(V211="SE",5,IF(V211="ALI",7,IF(V211="AIE",5,"")))),
        IF('Dados da OS'!$D$8=Parâmetros!$B$3,
           IF(OR(ISBLANK(X211),ISBLANK(Z211)),"",
              IF(V211="ALI",IF(AE211="L",7,IF(AE211="A",10,15)),
                 IF(V211="AIE",IF(AE211="L",5,IF(AE211="A",7,10)),
                    IF(V211="SE",IF(AE211="L",4,IF(AE211="A",5,7)),
                       IF(OR(V211="EE",V211="CE"),IF(AE211="L",3,IF(AE211="A",4,6)),""))))))))),
   IF('Dados da OS'!$D$8=Parâmetros!$B$5,
      IF(OR(AND(V211="INM",AG211&lt;&gt;"VF"),AND(AG211="VF",V211&lt;&gt;"INM")),"",
         IF(V211="INM",IF(AG211="VF",AF211*AB211,""),
            IF(V211="PE",4.6,
            IF(V211="AL",7,"")))),
   IF('Dados da OS'!$D$8=Parâmetros!$B$6,
      IF(V211="ALI",35,IF(V211="AIE",15,"")),""))
    )
)</f>
        <v/>
      </c>
      <c r="AJ211" s="82" t="str">
        <f t="shared" si="28"/>
        <v/>
      </c>
      <c r="AK211" s="84"/>
      <c r="AL211" s="85" t="s">
        <v>21</v>
      </c>
      <c r="AM211" s="86"/>
      <c r="AN211" s="85"/>
      <c r="AO211" s="87"/>
      <c r="AP211" s="85"/>
      <c r="AQ211" s="86"/>
      <c r="AR211" s="85"/>
    </row>
    <row r="212" spans="1:44" ht="15.75" customHeight="1">
      <c r="A212" s="54"/>
      <c r="B212" s="100"/>
      <c r="C212" s="55"/>
      <c r="D212" s="55"/>
      <c r="E212" s="56"/>
      <c r="F212" s="55"/>
      <c r="G212" s="56"/>
      <c r="H212" s="55"/>
      <c r="I212" s="64"/>
      <c r="J212" s="57" t="str">
        <f t="shared" si="23"/>
        <v/>
      </c>
      <c r="K212" s="57" t="str">
        <f t="shared" si="24"/>
        <v/>
      </c>
      <c r="L212" s="57" t="str">
        <f xml:space="preserve">
IF(OR('Dados da OS'!$D$8=Parâmetros!$B$3,'Dados da OS'!$D$8=Parâmetros!$B$4),
  IF(OR(ISBLANK(D212),ISBLANK(F212)),
     IF(OR(B212="ALI",B212="AIE"),"L",IF(ISBLANK(B212),"","A")),
     IF(B212="EE",IF(F212&gt;=3,IF(D212&gt;=5,"H","A"),
     IF(F212&gt;=2,IF(D212&gt;=16,"H",IF(D212&lt;=4,"L","A")),IF(D212&lt;=15,"L","A"))),
     IF(OR(B212="SE",B212="CE"),IF(F212&gt;=4,IF(D212&gt;=6,"H","A"),IF(F212&gt;=2,IF(D212&gt;=20,"H",IF(D212&lt;=5,"L","A")),IF(D212&lt;=19,"L","A"))),
     IF(OR(B212="ALI",B212="AIE"),IF(F212&gt;=6,IF(D212&gt;=20,"H","A"),IF(F212&gt;=2,IF(D212&gt;=51,"H",IF(D212&lt;=19,"L","A")),IF(D212&lt;=50,"L","A"))))))),
IF('Dados da OS'!$D$8=Parâmetros!$B$6,"Indicativa",
IF('Dados da OS'!$D$8=Parâmetros!$B$5,"PFS","")))</f>
        <v/>
      </c>
      <c r="M212" s="57">
        <f>IFERROR(VLOOKUP(C212,'Fatores de Impacto e INMs'!$A$3:$D$32,3,0),1)</f>
        <v>1</v>
      </c>
      <c r="N212" s="57">
        <f>IFERROR(VLOOKUP(C212,'Fatores de Impacto e INMs'!$A$3:$E$32,5,0),1)</f>
        <v>1</v>
      </c>
      <c r="O212" s="63" t="str">
        <f xml:space="preserve">
IF(OR('Dados da OS'!$D$8="Selecione o tipo da contagem",ISBLANK('Dados da OS'!$D$8),B212="INM",B212="N/A",ISBLANK(B212),ISBLANK(C212),N212="VF"),"-",
   IF('Dados da OS'!$D$8=Parâmetros!$B$3,
      IF(OR(ISBLANK(D212),ISBLANK(F212)),"-",
         IF(L212="L","Baixa",IF(L212="A","Média",IF(L212="H","Alta","-")))),
      IF('Dados da OS'!$D$8=Parâmetros!$B$4,
         IF(OR(B212="ALI",B212="AIE"),"Baixa",IF(OR(B212="EE",B212="SE",B212="CE"),"Média","-")),
         IF(OR('Dados da OS'!$D$8=Parâmetros!$B$5,'Dados da OS'!$D$8=Parâmetros!$B$6),"-"))))</f>
        <v>-</v>
      </c>
      <c r="P212" s="59" t="str">
        <f xml:space="preserve">
IF(OR(ISBLANK(B212),ISBLANK(C212),B212="N/A",ISBLANK('Dados da OS'!$D$8)),"",
   IF(OR('Dados da OS'!$D$8=Parâmetros!$B$3,'Dados da OS'!$D$8=Parâmetros!$B$4),
      IF(OR(AND(B212="INM",N212&lt;&gt;"VF"),AND(N212="VF",B212&lt;&gt;"INM")),"",
        IF(AND(B212="INM",N212="VF"),IF(ISBLANK(H212),"",M212*H212),
        IF('Dados da OS'!$D$8=Parâmetros!$B$4,
           IF(OR(B212="CE",B212="EE"),4,IF(B212="SE",5,IF(B212="ALI",7,IF(B212="AIE",5,"")))),
        IF('Dados da OS'!$D$8=Parâmetros!$B$3,
           IF(OR(ISBLANK(D212),ISBLANK(F212)),"",
              IF(B212="ALI",IF(L212="L",7,IF(L212="A",10,15)),
                 IF(B212="AIE",IF(L212="L",5,IF(L212="A",7,10)),
                    IF(B212="SE",IF(L212="L",4,IF(L212="A",5,7)),
                       IF(OR(B212="EE",B212="CE"),IF(L212="L",3,IF(L212="A",4,6)),""))))))))),
   IF('Dados da OS'!$D$8=Parâmetros!$B$5,
      IF(OR(AND(B212="INM",N212&lt;&gt;"VF"),AND(N212="VF",B212&lt;&gt;"INM")),"",
         IF(B212="INM",IF(N212="VF",M212*H212,""),
            IF(B212="PE",4.6,
            IF(B212="AL",7,"")))),
   IF('Dados da OS'!$D$8=Parâmetros!$B$6,
      IF(B212="ALI",35,IF(B212="AIE",15,"")),""))
    )
)</f>
        <v/>
      </c>
      <c r="Q212" s="60" t="str">
        <f t="shared" si="25"/>
        <v/>
      </c>
      <c r="R212" s="61"/>
      <c r="S212" s="62"/>
      <c r="T212" s="80" t="s">
        <v>21</v>
      </c>
      <c r="U212" s="81"/>
      <c r="V212" s="99"/>
      <c r="W212" s="55"/>
      <c r="X212" s="55"/>
      <c r="Y212" s="56"/>
      <c r="Z212" s="55"/>
      <c r="AA212" s="56"/>
      <c r="AB212" s="55"/>
      <c r="AC212" s="57" t="str">
        <f t="shared" si="26"/>
        <v/>
      </c>
      <c r="AD212" s="57" t="str">
        <f t="shared" si="27"/>
        <v/>
      </c>
      <c r="AE212" s="57" t="str">
        <f xml:space="preserve">
IF(OR('Dados da OS'!$D$8=Parâmetros!$B$3,'Dados da OS'!$D$8=Parâmetros!$B$4),
  IF(OR(ISBLANK(X212),ISBLANK(Z212)),
     IF(OR(V212="ALI",V212="AIE"),"L",IF(ISBLANK(V212),"","A")),
     IF(V212="EE",IF(Z212&gt;=3,IF(X212&gt;=5,"H","A"),
     IF(Z212&gt;=2,IF(X212&gt;=16,"H",IF(X212&lt;=4,"L","A")),IF(X212&lt;=15,"L","A"))),
     IF(OR(V212="SE",V212="CE"),IF(Z212&gt;=4,IF(X212&gt;=6,"H","A"),IF(Z212&gt;=2,IF(X212&gt;=20,"H",IF(X212&lt;=5,"L","A")),IF(X212&lt;=19,"L","A"))),
     IF(OR(V212="ALI",V212="AIE"),IF(Z212&gt;=6,IF(X212&gt;=20,"H","A"),IF(Z212&gt;=2,IF(X212&gt;=51,"H",IF(X212&lt;=19,"L","A")),IF(X212&lt;=50,"L","A"))))))),
IF('Dados da OS'!$D$8=Parâmetros!$B$6,"Indicativa",
IF('Dados da OS'!$D$8=Parâmetros!$B$5,"PFS","")))</f>
        <v/>
      </c>
      <c r="AF212" s="57">
        <f>IFERROR(VLOOKUP(W212,'Fatores de Impacto e INMs'!$A$3:$D$32,3,0),1)</f>
        <v>1</v>
      </c>
      <c r="AG212" s="57">
        <f>IFERROR(VLOOKUP(W212,'Fatores de Impacto e INMs'!$A$3:$E$32,5,0),1)</f>
        <v>1</v>
      </c>
      <c r="AH212" s="82" t="str">
        <f xml:space="preserve">
IF(OR('Dados da OS'!$D$8="Selecione o tipo da contagem",ISBLANK('Dados da OS'!$D$8),V212="INM",V212="N/A",ISBLANK(V212),ISBLANK(W212),AG212="VF"),"-",
   IF('Dados da OS'!$D$8=Parâmetros!$B$3,
      IF(OR(ISBLANK(X212),ISBLANK(Z212)),"-",
         IF(AE212="L","Baixa",IF(AE212="A","Média",IF(AE212="H","Alta","-")))),
      IF('Dados da OS'!$D$8=Parâmetros!$B$4,
         IF(OR(V212="ALI",V212="AIE"),"Baixa",IF(OR(V212="EE",V212="SE",V212="CE"),"Média","-")),
         IF(OR('Dados da OS'!$D$8=Parâmetros!$B$5,'Dados da OS'!$D$8=Parâmetros!$B$6),"-"))))</f>
        <v>-</v>
      </c>
      <c r="AI212" s="83" t="str">
        <f xml:space="preserve">
IF(OR(ISBLANK(V212),ISBLANK(U212),ISBLANK(W212),V212="N/A",ISBLANK('Dados da OS'!$D$8)),"",
   IF(OR('Dados da OS'!$D$8=Parâmetros!$B$3,'Dados da OS'!$D$8=Parâmetros!$B$4),
      IF(OR(AND(V212="INM",AG212&lt;&gt;"VF"),AND(AG212="VF",V212&lt;&gt;"INM")),"",
        IF(AND(V212="INM",AG212="VF"),IF(ISBLANK(AB212),"",AF212*AB212),
        IF('Dados da OS'!$D$8=Parâmetros!$B$4,
           IF(OR(V212="CE",V212="EE"),4,IF(V212="SE",5,IF(V212="ALI",7,IF(V212="AIE",5,"")))),
        IF('Dados da OS'!$D$8=Parâmetros!$B$3,
           IF(OR(ISBLANK(X212),ISBLANK(Z212)),"",
              IF(V212="ALI",IF(AE212="L",7,IF(AE212="A",10,15)),
                 IF(V212="AIE",IF(AE212="L",5,IF(AE212="A",7,10)),
                    IF(V212="SE",IF(AE212="L",4,IF(AE212="A",5,7)),
                       IF(OR(V212="EE",V212="CE"),IF(AE212="L",3,IF(AE212="A",4,6)),""))))))))),
   IF('Dados da OS'!$D$8=Parâmetros!$B$5,
      IF(OR(AND(V212="INM",AG212&lt;&gt;"VF"),AND(AG212="VF",V212&lt;&gt;"INM")),"",
         IF(V212="INM",IF(AG212="VF",AF212*AB212,""),
            IF(V212="PE",4.6,
            IF(V212="AL",7,"")))),
   IF('Dados da OS'!$D$8=Parâmetros!$B$6,
      IF(V212="ALI",35,IF(V212="AIE",15,"")),""))
    )
)</f>
        <v/>
      </c>
      <c r="AJ212" s="82" t="str">
        <f t="shared" si="28"/>
        <v/>
      </c>
      <c r="AK212" s="84"/>
      <c r="AL212" s="85" t="s">
        <v>21</v>
      </c>
      <c r="AM212" s="86"/>
      <c r="AN212" s="85"/>
      <c r="AO212" s="87"/>
      <c r="AP212" s="85"/>
      <c r="AQ212" s="86"/>
      <c r="AR212" s="85"/>
    </row>
    <row r="213" spans="1:44" ht="15.75" customHeight="1">
      <c r="A213" s="54"/>
      <c r="B213" s="100"/>
      <c r="C213" s="55"/>
      <c r="D213" s="55"/>
      <c r="E213" s="56"/>
      <c r="F213" s="55"/>
      <c r="G213" s="56"/>
      <c r="H213" s="55"/>
      <c r="I213" s="64"/>
      <c r="J213" s="57" t="str">
        <f t="shared" si="23"/>
        <v/>
      </c>
      <c r="K213" s="57" t="str">
        <f t="shared" si="24"/>
        <v/>
      </c>
      <c r="L213" s="57" t="str">
        <f xml:space="preserve">
IF(OR('Dados da OS'!$D$8=Parâmetros!$B$3,'Dados da OS'!$D$8=Parâmetros!$B$4),
  IF(OR(ISBLANK(D213),ISBLANK(F213)),
     IF(OR(B213="ALI",B213="AIE"),"L",IF(ISBLANK(B213),"","A")),
     IF(B213="EE",IF(F213&gt;=3,IF(D213&gt;=5,"H","A"),
     IF(F213&gt;=2,IF(D213&gt;=16,"H",IF(D213&lt;=4,"L","A")),IF(D213&lt;=15,"L","A"))),
     IF(OR(B213="SE",B213="CE"),IF(F213&gt;=4,IF(D213&gt;=6,"H","A"),IF(F213&gt;=2,IF(D213&gt;=20,"H",IF(D213&lt;=5,"L","A")),IF(D213&lt;=19,"L","A"))),
     IF(OR(B213="ALI",B213="AIE"),IF(F213&gt;=6,IF(D213&gt;=20,"H","A"),IF(F213&gt;=2,IF(D213&gt;=51,"H",IF(D213&lt;=19,"L","A")),IF(D213&lt;=50,"L","A"))))))),
IF('Dados da OS'!$D$8=Parâmetros!$B$6,"Indicativa",
IF('Dados da OS'!$D$8=Parâmetros!$B$5,"PFS","")))</f>
        <v/>
      </c>
      <c r="M213" s="57">
        <f>IFERROR(VLOOKUP(C213,'Fatores de Impacto e INMs'!$A$3:$D$32,3,0),1)</f>
        <v>1</v>
      </c>
      <c r="N213" s="57">
        <f>IFERROR(VLOOKUP(C213,'Fatores de Impacto e INMs'!$A$3:$E$32,5,0),1)</f>
        <v>1</v>
      </c>
      <c r="O213" s="63" t="str">
        <f xml:space="preserve">
IF(OR('Dados da OS'!$D$8="Selecione o tipo da contagem",ISBLANK('Dados da OS'!$D$8),B213="INM",B213="N/A",ISBLANK(B213),ISBLANK(C213),N213="VF"),"-",
   IF('Dados da OS'!$D$8=Parâmetros!$B$3,
      IF(OR(ISBLANK(D213),ISBLANK(F213)),"-",
         IF(L213="L","Baixa",IF(L213="A","Média",IF(L213="H","Alta","-")))),
      IF('Dados da OS'!$D$8=Parâmetros!$B$4,
         IF(OR(B213="ALI",B213="AIE"),"Baixa",IF(OR(B213="EE",B213="SE",B213="CE"),"Média","-")),
         IF(OR('Dados da OS'!$D$8=Parâmetros!$B$5,'Dados da OS'!$D$8=Parâmetros!$B$6),"-"))))</f>
        <v>-</v>
      </c>
      <c r="P213" s="59" t="str">
        <f xml:space="preserve">
IF(OR(ISBLANK(B213),ISBLANK(C213),B213="N/A",ISBLANK('Dados da OS'!$D$8)),"",
   IF(OR('Dados da OS'!$D$8=Parâmetros!$B$3,'Dados da OS'!$D$8=Parâmetros!$B$4),
      IF(OR(AND(B213="INM",N213&lt;&gt;"VF"),AND(N213="VF",B213&lt;&gt;"INM")),"",
        IF(AND(B213="INM",N213="VF"),IF(ISBLANK(H213),"",M213*H213),
        IF('Dados da OS'!$D$8=Parâmetros!$B$4,
           IF(OR(B213="CE",B213="EE"),4,IF(B213="SE",5,IF(B213="ALI",7,IF(B213="AIE",5,"")))),
        IF('Dados da OS'!$D$8=Parâmetros!$B$3,
           IF(OR(ISBLANK(D213),ISBLANK(F213)),"",
              IF(B213="ALI",IF(L213="L",7,IF(L213="A",10,15)),
                 IF(B213="AIE",IF(L213="L",5,IF(L213="A",7,10)),
                    IF(B213="SE",IF(L213="L",4,IF(L213="A",5,7)),
                       IF(OR(B213="EE",B213="CE"),IF(L213="L",3,IF(L213="A",4,6)),""))))))))),
   IF('Dados da OS'!$D$8=Parâmetros!$B$5,
      IF(OR(AND(B213="INM",N213&lt;&gt;"VF"),AND(N213="VF",B213&lt;&gt;"INM")),"",
         IF(B213="INM",IF(N213="VF",M213*H213,""),
            IF(B213="PE",4.6,
            IF(B213="AL",7,"")))),
   IF('Dados da OS'!$D$8=Parâmetros!$B$6,
      IF(B213="ALI",35,IF(B213="AIE",15,"")),""))
    )
)</f>
        <v/>
      </c>
      <c r="Q213" s="60" t="str">
        <f t="shared" si="25"/>
        <v/>
      </c>
      <c r="R213" s="61"/>
      <c r="S213" s="62"/>
      <c r="T213" s="80" t="s">
        <v>21</v>
      </c>
      <c r="U213" s="81"/>
      <c r="V213" s="99"/>
      <c r="W213" s="55"/>
      <c r="X213" s="55"/>
      <c r="Y213" s="56"/>
      <c r="Z213" s="55"/>
      <c r="AA213" s="56"/>
      <c r="AB213" s="55"/>
      <c r="AC213" s="57" t="str">
        <f t="shared" si="26"/>
        <v/>
      </c>
      <c r="AD213" s="57" t="str">
        <f t="shared" si="27"/>
        <v/>
      </c>
      <c r="AE213" s="57" t="str">
        <f xml:space="preserve">
IF(OR('Dados da OS'!$D$8=Parâmetros!$B$3,'Dados da OS'!$D$8=Parâmetros!$B$4),
  IF(OR(ISBLANK(X213),ISBLANK(Z213)),
     IF(OR(V213="ALI",V213="AIE"),"L",IF(ISBLANK(V213),"","A")),
     IF(V213="EE",IF(Z213&gt;=3,IF(X213&gt;=5,"H","A"),
     IF(Z213&gt;=2,IF(X213&gt;=16,"H",IF(X213&lt;=4,"L","A")),IF(X213&lt;=15,"L","A"))),
     IF(OR(V213="SE",V213="CE"),IF(Z213&gt;=4,IF(X213&gt;=6,"H","A"),IF(Z213&gt;=2,IF(X213&gt;=20,"H",IF(X213&lt;=5,"L","A")),IF(X213&lt;=19,"L","A"))),
     IF(OR(V213="ALI",V213="AIE"),IF(Z213&gt;=6,IF(X213&gt;=20,"H","A"),IF(Z213&gt;=2,IF(X213&gt;=51,"H",IF(X213&lt;=19,"L","A")),IF(X213&lt;=50,"L","A"))))))),
IF('Dados da OS'!$D$8=Parâmetros!$B$6,"Indicativa",
IF('Dados da OS'!$D$8=Parâmetros!$B$5,"PFS","")))</f>
        <v/>
      </c>
      <c r="AF213" s="57">
        <f>IFERROR(VLOOKUP(W213,'Fatores de Impacto e INMs'!$A$3:$D$32,3,0),1)</f>
        <v>1</v>
      </c>
      <c r="AG213" s="57">
        <f>IFERROR(VLOOKUP(W213,'Fatores de Impacto e INMs'!$A$3:$E$32,5,0),1)</f>
        <v>1</v>
      </c>
      <c r="AH213" s="82" t="str">
        <f xml:space="preserve">
IF(OR('Dados da OS'!$D$8="Selecione o tipo da contagem",ISBLANK('Dados da OS'!$D$8),V213="INM",V213="N/A",ISBLANK(V213),ISBLANK(W213),AG213="VF"),"-",
   IF('Dados da OS'!$D$8=Parâmetros!$B$3,
      IF(OR(ISBLANK(X213),ISBLANK(Z213)),"-",
         IF(AE213="L","Baixa",IF(AE213="A","Média",IF(AE213="H","Alta","-")))),
      IF('Dados da OS'!$D$8=Parâmetros!$B$4,
         IF(OR(V213="ALI",V213="AIE"),"Baixa",IF(OR(V213="EE",V213="SE",V213="CE"),"Média","-")),
         IF(OR('Dados da OS'!$D$8=Parâmetros!$B$5,'Dados da OS'!$D$8=Parâmetros!$B$6),"-"))))</f>
        <v>-</v>
      </c>
      <c r="AI213" s="83" t="str">
        <f xml:space="preserve">
IF(OR(ISBLANK(V213),ISBLANK(U213),ISBLANK(W213),V213="N/A",ISBLANK('Dados da OS'!$D$8)),"",
   IF(OR('Dados da OS'!$D$8=Parâmetros!$B$3,'Dados da OS'!$D$8=Parâmetros!$B$4),
      IF(OR(AND(V213="INM",AG213&lt;&gt;"VF"),AND(AG213="VF",V213&lt;&gt;"INM")),"",
        IF(AND(V213="INM",AG213="VF"),IF(ISBLANK(AB213),"",AF213*AB213),
        IF('Dados da OS'!$D$8=Parâmetros!$B$4,
           IF(OR(V213="CE",V213="EE"),4,IF(V213="SE",5,IF(V213="ALI",7,IF(V213="AIE",5,"")))),
        IF('Dados da OS'!$D$8=Parâmetros!$B$3,
           IF(OR(ISBLANK(X213),ISBLANK(Z213)),"",
              IF(V213="ALI",IF(AE213="L",7,IF(AE213="A",10,15)),
                 IF(V213="AIE",IF(AE213="L",5,IF(AE213="A",7,10)),
                    IF(V213="SE",IF(AE213="L",4,IF(AE213="A",5,7)),
                       IF(OR(V213="EE",V213="CE"),IF(AE213="L",3,IF(AE213="A",4,6)),""))))))))),
   IF('Dados da OS'!$D$8=Parâmetros!$B$5,
      IF(OR(AND(V213="INM",AG213&lt;&gt;"VF"),AND(AG213="VF",V213&lt;&gt;"INM")),"",
         IF(V213="INM",IF(AG213="VF",AF213*AB213,""),
            IF(V213="PE",4.6,
            IF(V213="AL",7,"")))),
   IF('Dados da OS'!$D$8=Parâmetros!$B$6,
      IF(V213="ALI",35,IF(V213="AIE",15,"")),""))
    )
)</f>
        <v/>
      </c>
      <c r="AJ213" s="82" t="str">
        <f t="shared" si="28"/>
        <v/>
      </c>
      <c r="AK213" s="84"/>
      <c r="AL213" s="85" t="s">
        <v>21</v>
      </c>
      <c r="AM213" s="86"/>
      <c r="AN213" s="85"/>
      <c r="AO213" s="87"/>
      <c r="AP213" s="85"/>
      <c r="AQ213" s="86"/>
      <c r="AR213" s="85"/>
    </row>
    <row r="214" spans="1:44" ht="15.75" customHeight="1">
      <c r="A214" s="54"/>
      <c r="B214" s="100"/>
      <c r="C214" s="55"/>
      <c r="D214" s="55"/>
      <c r="E214" s="56"/>
      <c r="F214" s="55"/>
      <c r="G214" s="56"/>
      <c r="H214" s="55"/>
      <c r="I214" s="64"/>
      <c r="J214" s="57" t="str">
        <f t="shared" si="23"/>
        <v/>
      </c>
      <c r="K214" s="57" t="str">
        <f t="shared" si="24"/>
        <v/>
      </c>
      <c r="L214" s="57" t="str">
        <f xml:space="preserve">
IF(OR('Dados da OS'!$D$8=Parâmetros!$B$3,'Dados da OS'!$D$8=Parâmetros!$B$4),
  IF(OR(ISBLANK(D214),ISBLANK(F214)),
     IF(OR(B214="ALI",B214="AIE"),"L",IF(ISBLANK(B214),"","A")),
     IF(B214="EE",IF(F214&gt;=3,IF(D214&gt;=5,"H","A"),
     IF(F214&gt;=2,IF(D214&gt;=16,"H",IF(D214&lt;=4,"L","A")),IF(D214&lt;=15,"L","A"))),
     IF(OR(B214="SE",B214="CE"),IF(F214&gt;=4,IF(D214&gt;=6,"H","A"),IF(F214&gt;=2,IF(D214&gt;=20,"H",IF(D214&lt;=5,"L","A")),IF(D214&lt;=19,"L","A"))),
     IF(OR(B214="ALI",B214="AIE"),IF(F214&gt;=6,IF(D214&gt;=20,"H","A"),IF(F214&gt;=2,IF(D214&gt;=51,"H",IF(D214&lt;=19,"L","A")),IF(D214&lt;=50,"L","A"))))))),
IF('Dados da OS'!$D$8=Parâmetros!$B$6,"Indicativa",
IF('Dados da OS'!$D$8=Parâmetros!$B$5,"PFS","")))</f>
        <v/>
      </c>
      <c r="M214" s="57">
        <f>IFERROR(VLOOKUP(C214,'Fatores de Impacto e INMs'!$A$3:$D$32,3,0),1)</f>
        <v>1</v>
      </c>
      <c r="N214" s="57">
        <f>IFERROR(VLOOKUP(C214,'Fatores de Impacto e INMs'!$A$3:$E$32,5,0),1)</f>
        <v>1</v>
      </c>
      <c r="O214" s="63" t="str">
        <f xml:space="preserve">
IF(OR('Dados da OS'!$D$8="Selecione o tipo da contagem",ISBLANK('Dados da OS'!$D$8),B214="INM",B214="N/A",ISBLANK(B214),ISBLANK(C214),N214="VF"),"-",
   IF('Dados da OS'!$D$8=Parâmetros!$B$3,
      IF(OR(ISBLANK(D214),ISBLANK(F214)),"-",
         IF(L214="L","Baixa",IF(L214="A","Média",IF(L214="H","Alta","-")))),
      IF('Dados da OS'!$D$8=Parâmetros!$B$4,
         IF(OR(B214="ALI",B214="AIE"),"Baixa",IF(OR(B214="EE",B214="SE",B214="CE"),"Média","-")),
         IF(OR('Dados da OS'!$D$8=Parâmetros!$B$5,'Dados da OS'!$D$8=Parâmetros!$B$6),"-"))))</f>
        <v>-</v>
      </c>
      <c r="P214" s="59" t="str">
        <f xml:space="preserve">
IF(OR(ISBLANK(B214),ISBLANK(C214),B214="N/A",ISBLANK('Dados da OS'!$D$8)),"",
   IF(OR('Dados da OS'!$D$8=Parâmetros!$B$3,'Dados da OS'!$D$8=Parâmetros!$B$4),
      IF(OR(AND(B214="INM",N214&lt;&gt;"VF"),AND(N214="VF",B214&lt;&gt;"INM")),"",
        IF(AND(B214="INM",N214="VF"),IF(ISBLANK(H214),"",M214*H214),
        IF('Dados da OS'!$D$8=Parâmetros!$B$4,
           IF(OR(B214="CE",B214="EE"),4,IF(B214="SE",5,IF(B214="ALI",7,IF(B214="AIE",5,"")))),
        IF('Dados da OS'!$D$8=Parâmetros!$B$3,
           IF(OR(ISBLANK(D214),ISBLANK(F214)),"",
              IF(B214="ALI",IF(L214="L",7,IF(L214="A",10,15)),
                 IF(B214="AIE",IF(L214="L",5,IF(L214="A",7,10)),
                    IF(B214="SE",IF(L214="L",4,IF(L214="A",5,7)),
                       IF(OR(B214="EE",B214="CE"),IF(L214="L",3,IF(L214="A",4,6)),""))))))))),
   IF('Dados da OS'!$D$8=Parâmetros!$B$5,
      IF(OR(AND(B214="INM",N214&lt;&gt;"VF"),AND(N214="VF",B214&lt;&gt;"INM")),"",
         IF(B214="INM",IF(N214="VF",M214*H214,""),
            IF(B214="PE",4.6,
            IF(B214="AL",7,"")))),
   IF('Dados da OS'!$D$8=Parâmetros!$B$6,
      IF(B214="ALI",35,IF(B214="AIE",15,"")),""))
    )
)</f>
        <v/>
      </c>
      <c r="Q214" s="60" t="str">
        <f t="shared" si="25"/>
        <v/>
      </c>
      <c r="R214" s="61"/>
      <c r="S214" s="62"/>
      <c r="T214" s="80" t="s">
        <v>21</v>
      </c>
      <c r="U214" s="81"/>
      <c r="V214" s="99"/>
      <c r="W214" s="55"/>
      <c r="X214" s="55"/>
      <c r="Y214" s="56"/>
      <c r="Z214" s="55"/>
      <c r="AA214" s="56"/>
      <c r="AB214" s="55"/>
      <c r="AC214" s="57" t="str">
        <f t="shared" si="26"/>
        <v/>
      </c>
      <c r="AD214" s="57" t="str">
        <f t="shared" si="27"/>
        <v/>
      </c>
      <c r="AE214" s="57" t="str">
        <f xml:space="preserve">
IF(OR('Dados da OS'!$D$8=Parâmetros!$B$3,'Dados da OS'!$D$8=Parâmetros!$B$4),
  IF(OR(ISBLANK(X214),ISBLANK(Z214)),
     IF(OR(V214="ALI",V214="AIE"),"L",IF(ISBLANK(V214),"","A")),
     IF(V214="EE",IF(Z214&gt;=3,IF(X214&gt;=5,"H","A"),
     IF(Z214&gt;=2,IF(X214&gt;=16,"H",IF(X214&lt;=4,"L","A")),IF(X214&lt;=15,"L","A"))),
     IF(OR(V214="SE",V214="CE"),IF(Z214&gt;=4,IF(X214&gt;=6,"H","A"),IF(Z214&gt;=2,IF(X214&gt;=20,"H",IF(X214&lt;=5,"L","A")),IF(X214&lt;=19,"L","A"))),
     IF(OR(V214="ALI",V214="AIE"),IF(Z214&gt;=6,IF(X214&gt;=20,"H","A"),IF(Z214&gt;=2,IF(X214&gt;=51,"H",IF(X214&lt;=19,"L","A")),IF(X214&lt;=50,"L","A"))))))),
IF('Dados da OS'!$D$8=Parâmetros!$B$6,"Indicativa",
IF('Dados da OS'!$D$8=Parâmetros!$B$5,"PFS","")))</f>
        <v/>
      </c>
      <c r="AF214" s="57">
        <f>IFERROR(VLOOKUP(W214,'Fatores de Impacto e INMs'!$A$3:$D$32,3,0),1)</f>
        <v>1</v>
      </c>
      <c r="AG214" s="57">
        <f>IFERROR(VLOOKUP(W214,'Fatores de Impacto e INMs'!$A$3:$E$32,5,0),1)</f>
        <v>1</v>
      </c>
      <c r="AH214" s="82" t="str">
        <f xml:space="preserve">
IF(OR('Dados da OS'!$D$8="Selecione o tipo da contagem",ISBLANK('Dados da OS'!$D$8),V214="INM",V214="N/A",ISBLANK(V214),ISBLANK(W214),AG214="VF"),"-",
   IF('Dados da OS'!$D$8=Parâmetros!$B$3,
      IF(OR(ISBLANK(X214),ISBLANK(Z214)),"-",
         IF(AE214="L","Baixa",IF(AE214="A","Média",IF(AE214="H","Alta","-")))),
      IF('Dados da OS'!$D$8=Parâmetros!$B$4,
         IF(OR(V214="ALI",V214="AIE"),"Baixa",IF(OR(V214="EE",V214="SE",V214="CE"),"Média","-")),
         IF(OR('Dados da OS'!$D$8=Parâmetros!$B$5,'Dados da OS'!$D$8=Parâmetros!$B$6),"-"))))</f>
        <v>-</v>
      </c>
      <c r="AI214" s="83" t="str">
        <f xml:space="preserve">
IF(OR(ISBLANK(V214),ISBLANK(U214),ISBLANK(W214),V214="N/A",ISBLANK('Dados da OS'!$D$8)),"",
   IF(OR('Dados da OS'!$D$8=Parâmetros!$B$3,'Dados da OS'!$D$8=Parâmetros!$B$4),
      IF(OR(AND(V214="INM",AG214&lt;&gt;"VF"),AND(AG214="VF",V214&lt;&gt;"INM")),"",
        IF(AND(V214="INM",AG214="VF"),IF(ISBLANK(AB214),"",AF214*AB214),
        IF('Dados da OS'!$D$8=Parâmetros!$B$4,
           IF(OR(V214="CE",V214="EE"),4,IF(V214="SE",5,IF(V214="ALI",7,IF(V214="AIE",5,"")))),
        IF('Dados da OS'!$D$8=Parâmetros!$B$3,
           IF(OR(ISBLANK(X214),ISBLANK(Z214)),"",
              IF(V214="ALI",IF(AE214="L",7,IF(AE214="A",10,15)),
                 IF(V214="AIE",IF(AE214="L",5,IF(AE214="A",7,10)),
                    IF(V214="SE",IF(AE214="L",4,IF(AE214="A",5,7)),
                       IF(OR(V214="EE",V214="CE"),IF(AE214="L",3,IF(AE214="A",4,6)),""))))))))),
   IF('Dados da OS'!$D$8=Parâmetros!$B$5,
      IF(OR(AND(V214="INM",AG214&lt;&gt;"VF"),AND(AG214="VF",V214&lt;&gt;"INM")),"",
         IF(V214="INM",IF(AG214="VF",AF214*AB214,""),
            IF(V214="PE",4.6,
            IF(V214="AL",7,"")))),
   IF('Dados da OS'!$D$8=Parâmetros!$B$6,
      IF(V214="ALI",35,IF(V214="AIE",15,"")),""))
    )
)</f>
        <v/>
      </c>
      <c r="AJ214" s="82" t="str">
        <f t="shared" si="28"/>
        <v/>
      </c>
      <c r="AK214" s="84"/>
      <c r="AL214" s="85" t="s">
        <v>21</v>
      </c>
      <c r="AM214" s="86"/>
      <c r="AN214" s="85"/>
      <c r="AO214" s="87"/>
      <c r="AP214" s="85"/>
      <c r="AQ214" s="86"/>
      <c r="AR214" s="85"/>
    </row>
    <row r="215" spans="1:44" ht="15.75" customHeight="1">
      <c r="A215" s="54"/>
      <c r="B215" s="100"/>
      <c r="C215" s="55"/>
      <c r="D215" s="55"/>
      <c r="E215" s="56"/>
      <c r="F215" s="55"/>
      <c r="G215" s="56"/>
      <c r="H215" s="55"/>
      <c r="I215" s="64"/>
      <c r="J215" s="57" t="str">
        <f t="shared" si="23"/>
        <v/>
      </c>
      <c r="K215" s="57" t="str">
        <f t="shared" si="24"/>
        <v/>
      </c>
      <c r="L215" s="57" t="str">
        <f xml:space="preserve">
IF(OR('Dados da OS'!$D$8=Parâmetros!$B$3,'Dados da OS'!$D$8=Parâmetros!$B$4),
  IF(OR(ISBLANK(D215),ISBLANK(F215)),
     IF(OR(B215="ALI",B215="AIE"),"L",IF(ISBLANK(B215),"","A")),
     IF(B215="EE",IF(F215&gt;=3,IF(D215&gt;=5,"H","A"),
     IF(F215&gt;=2,IF(D215&gt;=16,"H",IF(D215&lt;=4,"L","A")),IF(D215&lt;=15,"L","A"))),
     IF(OR(B215="SE",B215="CE"),IF(F215&gt;=4,IF(D215&gt;=6,"H","A"),IF(F215&gt;=2,IF(D215&gt;=20,"H",IF(D215&lt;=5,"L","A")),IF(D215&lt;=19,"L","A"))),
     IF(OR(B215="ALI",B215="AIE"),IF(F215&gt;=6,IF(D215&gt;=20,"H","A"),IF(F215&gt;=2,IF(D215&gt;=51,"H",IF(D215&lt;=19,"L","A")),IF(D215&lt;=50,"L","A"))))))),
IF('Dados da OS'!$D$8=Parâmetros!$B$6,"Indicativa",
IF('Dados da OS'!$D$8=Parâmetros!$B$5,"PFS","")))</f>
        <v/>
      </c>
      <c r="M215" s="57">
        <f>IFERROR(VLOOKUP(C215,'Fatores de Impacto e INMs'!$A$3:$D$32,3,0),1)</f>
        <v>1</v>
      </c>
      <c r="N215" s="57">
        <f>IFERROR(VLOOKUP(C215,'Fatores de Impacto e INMs'!$A$3:$E$32,5,0),1)</f>
        <v>1</v>
      </c>
      <c r="O215" s="63" t="str">
        <f xml:space="preserve">
IF(OR('Dados da OS'!$D$8="Selecione o tipo da contagem",ISBLANK('Dados da OS'!$D$8),B215="INM",B215="N/A",ISBLANK(B215),ISBLANK(C215),N215="VF"),"-",
   IF('Dados da OS'!$D$8=Parâmetros!$B$3,
      IF(OR(ISBLANK(D215),ISBLANK(F215)),"-",
         IF(L215="L","Baixa",IF(L215="A","Média",IF(L215="H","Alta","-")))),
      IF('Dados da OS'!$D$8=Parâmetros!$B$4,
         IF(OR(B215="ALI",B215="AIE"),"Baixa",IF(OR(B215="EE",B215="SE",B215="CE"),"Média","-")),
         IF(OR('Dados da OS'!$D$8=Parâmetros!$B$5,'Dados da OS'!$D$8=Parâmetros!$B$6),"-"))))</f>
        <v>-</v>
      </c>
      <c r="P215" s="59" t="str">
        <f xml:space="preserve">
IF(OR(ISBLANK(B215),ISBLANK(C215),B215="N/A",ISBLANK('Dados da OS'!$D$8)),"",
   IF(OR('Dados da OS'!$D$8=Parâmetros!$B$3,'Dados da OS'!$D$8=Parâmetros!$B$4),
      IF(OR(AND(B215="INM",N215&lt;&gt;"VF"),AND(N215="VF",B215&lt;&gt;"INM")),"",
        IF(AND(B215="INM",N215="VF"),IF(ISBLANK(H215),"",M215*H215),
        IF('Dados da OS'!$D$8=Parâmetros!$B$4,
           IF(OR(B215="CE",B215="EE"),4,IF(B215="SE",5,IF(B215="ALI",7,IF(B215="AIE",5,"")))),
        IF('Dados da OS'!$D$8=Parâmetros!$B$3,
           IF(OR(ISBLANK(D215),ISBLANK(F215)),"",
              IF(B215="ALI",IF(L215="L",7,IF(L215="A",10,15)),
                 IF(B215="AIE",IF(L215="L",5,IF(L215="A",7,10)),
                    IF(B215="SE",IF(L215="L",4,IF(L215="A",5,7)),
                       IF(OR(B215="EE",B215="CE"),IF(L215="L",3,IF(L215="A",4,6)),""))))))))),
   IF('Dados da OS'!$D$8=Parâmetros!$B$5,
      IF(OR(AND(B215="INM",N215&lt;&gt;"VF"),AND(N215="VF",B215&lt;&gt;"INM")),"",
         IF(B215="INM",IF(N215="VF",M215*H215,""),
            IF(B215="PE",4.6,
            IF(B215="AL",7,"")))),
   IF('Dados da OS'!$D$8=Parâmetros!$B$6,
      IF(B215="ALI",35,IF(B215="AIE",15,"")),""))
    )
)</f>
        <v/>
      </c>
      <c r="Q215" s="60" t="str">
        <f t="shared" si="25"/>
        <v/>
      </c>
      <c r="R215" s="61"/>
      <c r="S215" s="62"/>
      <c r="T215" s="80" t="s">
        <v>21</v>
      </c>
      <c r="U215" s="81"/>
      <c r="V215" s="99"/>
      <c r="W215" s="55"/>
      <c r="X215" s="55"/>
      <c r="Y215" s="56"/>
      <c r="Z215" s="55"/>
      <c r="AA215" s="56"/>
      <c r="AB215" s="55"/>
      <c r="AC215" s="57" t="str">
        <f t="shared" si="26"/>
        <v/>
      </c>
      <c r="AD215" s="57" t="str">
        <f t="shared" si="27"/>
        <v/>
      </c>
      <c r="AE215" s="57" t="str">
        <f xml:space="preserve">
IF(OR('Dados da OS'!$D$8=Parâmetros!$B$3,'Dados da OS'!$D$8=Parâmetros!$B$4),
  IF(OR(ISBLANK(X215),ISBLANK(Z215)),
     IF(OR(V215="ALI",V215="AIE"),"L",IF(ISBLANK(V215),"","A")),
     IF(V215="EE",IF(Z215&gt;=3,IF(X215&gt;=5,"H","A"),
     IF(Z215&gt;=2,IF(X215&gt;=16,"H",IF(X215&lt;=4,"L","A")),IF(X215&lt;=15,"L","A"))),
     IF(OR(V215="SE",V215="CE"),IF(Z215&gt;=4,IF(X215&gt;=6,"H","A"),IF(Z215&gt;=2,IF(X215&gt;=20,"H",IF(X215&lt;=5,"L","A")),IF(X215&lt;=19,"L","A"))),
     IF(OR(V215="ALI",V215="AIE"),IF(Z215&gt;=6,IF(X215&gt;=20,"H","A"),IF(Z215&gt;=2,IF(X215&gt;=51,"H",IF(X215&lt;=19,"L","A")),IF(X215&lt;=50,"L","A"))))))),
IF('Dados da OS'!$D$8=Parâmetros!$B$6,"Indicativa",
IF('Dados da OS'!$D$8=Parâmetros!$B$5,"PFS","")))</f>
        <v/>
      </c>
      <c r="AF215" s="57">
        <f>IFERROR(VLOOKUP(W215,'Fatores de Impacto e INMs'!$A$3:$D$32,3,0),1)</f>
        <v>1</v>
      </c>
      <c r="AG215" s="57">
        <f>IFERROR(VLOOKUP(W215,'Fatores de Impacto e INMs'!$A$3:$E$32,5,0),1)</f>
        <v>1</v>
      </c>
      <c r="AH215" s="82" t="str">
        <f xml:space="preserve">
IF(OR('Dados da OS'!$D$8="Selecione o tipo da contagem",ISBLANK('Dados da OS'!$D$8),V215="INM",V215="N/A",ISBLANK(V215),ISBLANK(W215),AG215="VF"),"-",
   IF('Dados da OS'!$D$8=Parâmetros!$B$3,
      IF(OR(ISBLANK(X215),ISBLANK(Z215)),"-",
         IF(AE215="L","Baixa",IF(AE215="A","Média",IF(AE215="H","Alta","-")))),
      IF('Dados da OS'!$D$8=Parâmetros!$B$4,
         IF(OR(V215="ALI",V215="AIE"),"Baixa",IF(OR(V215="EE",V215="SE",V215="CE"),"Média","-")),
         IF(OR('Dados da OS'!$D$8=Parâmetros!$B$5,'Dados da OS'!$D$8=Parâmetros!$B$6),"-"))))</f>
        <v>-</v>
      </c>
      <c r="AI215" s="83" t="str">
        <f xml:space="preserve">
IF(OR(ISBLANK(V215),ISBLANK(U215),ISBLANK(W215),V215="N/A",ISBLANK('Dados da OS'!$D$8)),"",
   IF(OR('Dados da OS'!$D$8=Parâmetros!$B$3,'Dados da OS'!$D$8=Parâmetros!$B$4),
      IF(OR(AND(V215="INM",AG215&lt;&gt;"VF"),AND(AG215="VF",V215&lt;&gt;"INM")),"",
        IF(AND(V215="INM",AG215="VF"),IF(ISBLANK(AB215),"",AF215*AB215),
        IF('Dados da OS'!$D$8=Parâmetros!$B$4,
           IF(OR(V215="CE",V215="EE"),4,IF(V215="SE",5,IF(V215="ALI",7,IF(V215="AIE",5,"")))),
        IF('Dados da OS'!$D$8=Parâmetros!$B$3,
           IF(OR(ISBLANK(X215),ISBLANK(Z215)),"",
              IF(V215="ALI",IF(AE215="L",7,IF(AE215="A",10,15)),
                 IF(V215="AIE",IF(AE215="L",5,IF(AE215="A",7,10)),
                    IF(V215="SE",IF(AE215="L",4,IF(AE215="A",5,7)),
                       IF(OR(V215="EE",V215="CE"),IF(AE215="L",3,IF(AE215="A",4,6)),""))))))))),
   IF('Dados da OS'!$D$8=Parâmetros!$B$5,
      IF(OR(AND(V215="INM",AG215&lt;&gt;"VF"),AND(AG215="VF",V215&lt;&gt;"INM")),"",
         IF(V215="INM",IF(AG215="VF",AF215*AB215,""),
            IF(V215="PE",4.6,
            IF(V215="AL",7,"")))),
   IF('Dados da OS'!$D$8=Parâmetros!$B$6,
      IF(V215="ALI",35,IF(V215="AIE",15,"")),""))
    )
)</f>
        <v/>
      </c>
      <c r="AJ215" s="82" t="str">
        <f t="shared" si="28"/>
        <v/>
      </c>
      <c r="AK215" s="84"/>
      <c r="AL215" s="85" t="s">
        <v>21</v>
      </c>
      <c r="AM215" s="86"/>
      <c r="AN215" s="85"/>
      <c r="AO215" s="87"/>
      <c r="AP215" s="85"/>
      <c r="AQ215" s="86"/>
      <c r="AR215" s="85"/>
    </row>
    <row r="216" spans="1:44" ht="15.75" customHeight="1">
      <c r="A216" s="54"/>
      <c r="B216" s="100"/>
      <c r="C216" s="55"/>
      <c r="D216" s="55"/>
      <c r="E216" s="56"/>
      <c r="F216" s="55"/>
      <c r="G216" s="56"/>
      <c r="H216" s="55"/>
      <c r="I216" s="64"/>
      <c r="J216" s="57" t="str">
        <f t="shared" si="23"/>
        <v/>
      </c>
      <c r="K216" s="57" t="str">
        <f t="shared" si="24"/>
        <v/>
      </c>
      <c r="L216" s="57" t="str">
        <f xml:space="preserve">
IF(OR('Dados da OS'!$D$8=Parâmetros!$B$3,'Dados da OS'!$D$8=Parâmetros!$B$4),
  IF(OR(ISBLANK(D216),ISBLANK(F216)),
     IF(OR(B216="ALI",B216="AIE"),"L",IF(ISBLANK(B216),"","A")),
     IF(B216="EE",IF(F216&gt;=3,IF(D216&gt;=5,"H","A"),
     IF(F216&gt;=2,IF(D216&gt;=16,"H",IF(D216&lt;=4,"L","A")),IF(D216&lt;=15,"L","A"))),
     IF(OR(B216="SE",B216="CE"),IF(F216&gt;=4,IF(D216&gt;=6,"H","A"),IF(F216&gt;=2,IF(D216&gt;=20,"H",IF(D216&lt;=5,"L","A")),IF(D216&lt;=19,"L","A"))),
     IF(OR(B216="ALI",B216="AIE"),IF(F216&gt;=6,IF(D216&gt;=20,"H","A"),IF(F216&gt;=2,IF(D216&gt;=51,"H",IF(D216&lt;=19,"L","A")),IF(D216&lt;=50,"L","A"))))))),
IF('Dados da OS'!$D$8=Parâmetros!$B$6,"Indicativa",
IF('Dados da OS'!$D$8=Parâmetros!$B$5,"PFS","")))</f>
        <v/>
      </c>
      <c r="M216" s="57">
        <f>IFERROR(VLOOKUP(C216,'Fatores de Impacto e INMs'!$A$3:$D$32,3,0),1)</f>
        <v>1</v>
      </c>
      <c r="N216" s="57">
        <f>IFERROR(VLOOKUP(C216,'Fatores de Impacto e INMs'!$A$3:$E$32,5,0),1)</f>
        <v>1</v>
      </c>
      <c r="O216" s="63" t="str">
        <f xml:space="preserve">
IF(OR('Dados da OS'!$D$8="Selecione o tipo da contagem",ISBLANK('Dados da OS'!$D$8),B216="INM",B216="N/A",ISBLANK(B216),ISBLANK(C216),N216="VF"),"-",
   IF('Dados da OS'!$D$8=Parâmetros!$B$3,
      IF(OR(ISBLANK(D216),ISBLANK(F216)),"-",
         IF(L216="L","Baixa",IF(L216="A","Média",IF(L216="H","Alta","-")))),
      IF('Dados da OS'!$D$8=Parâmetros!$B$4,
         IF(OR(B216="ALI",B216="AIE"),"Baixa",IF(OR(B216="EE",B216="SE",B216="CE"),"Média","-")),
         IF(OR('Dados da OS'!$D$8=Parâmetros!$B$5,'Dados da OS'!$D$8=Parâmetros!$B$6),"-"))))</f>
        <v>-</v>
      </c>
      <c r="P216" s="59" t="str">
        <f xml:space="preserve">
IF(OR(ISBLANK(B216),ISBLANK(C216),B216="N/A",ISBLANK('Dados da OS'!$D$8)),"",
   IF(OR('Dados da OS'!$D$8=Parâmetros!$B$3,'Dados da OS'!$D$8=Parâmetros!$B$4),
      IF(OR(AND(B216="INM",N216&lt;&gt;"VF"),AND(N216="VF",B216&lt;&gt;"INM")),"",
        IF(AND(B216="INM",N216="VF"),IF(ISBLANK(H216),"",M216*H216),
        IF('Dados da OS'!$D$8=Parâmetros!$B$4,
           IF(OR(B216="CE",B216="EE"),4,IF(B216="SE",5,IF(B216="ALI",7,IF(B216="AIE",5,"")))),
        IF('Dados da OS'!$D$8=Parâmetros!$B$3,
           IF(OR(ISBLANK(D216),ISBLANK(F216)),"",
              IF(B216="ALI",IF(L216="L",7,IF(L216="A",10,15)),
                 IF(B216="AIE",IF(L216="L",5,IF(L216="A",7,10)),
                    IF(B216="SE",IF(L216="L",4,IF(L216="A",5,7)),
                       IF(OR(B216="EE",B216="CE"),IF(L216="L",3,IF(L216="A",4,6)),""))))))))),
   IF('Dados da OS'!$D$8=Parâmetros!$B$5,
      IF(OR(AND(B216="INM",N216&lt;&gt;"VF"),AND(N216="VF",B216&lt;&gt;"INM")),"",
         IF(B216="INM",IF(N216="VF",M216*H216,""),
            IF(B216="PE",4.6,
            IF(B216="AL",7,"")))),
   IF('Dados da OS'!$D$8=Parâmetros!$B$6,
      IF(B216="ALI",35,IF(B216="AIE",15,"")),""))
    )
)</f>
        <v/>
      </c>
      <c r="Q216" s="60" t="str">
        <f t="shared" si="25"/>
        <v/>
      </c>
      <c r="R216" s="61"/>
      <c r="S216" s="62"/>
      <c r="T216" s="80" t="s">
        <v>21</v>
      </c>
      <c r="U216" s="81"/>
      <c r="V216" s="99"/>
      <c r="W216" s="55"/>
      <c r="X216" s="55"/>
      <c r="Y216" s="56"/>
      <c r="Z216" s="55"/>
      <c r="AA216" s="56"/>
      <c r="AB216" s="55"/>
      <c r="AC216" s="57" t="str">
        <f t="shared" si="26"/>
        <v/>
      </c>
      <c r="AD216" s="57" t="str">
        <f t="shared" si="27"/>
        <v/>
      </c>
      <c r="AE216" s="57" t="str">
        <f xml:space="preserve">
IF(OR('Dados da OS'!$D$8=Parâmetros!$B$3,'Dados da OS'!$D$8=Parâmetros!$B$4),
  IF(OR(ISBLANK(X216),ISBLANK(Z216)),
     IF(OR(V216="ALI",V216="AIE"),"L",IF(ISBLANK(V216),"","A")),
     IF(V216="EE",IF(Z216&gt;=3,IF(X216&gt;=5,"H","A"),
     IF(Z216&gt;=2,IF(X216&gt;=16,"H",IF(X216&lt;=4,"L","A")),IF(X216&lt;=15,"L","A"))),
     IF(OR(V216="SE",V216="CE"),IF(Z216&gt;=4,IF(X216&gt;=6,"H","A"),IF(Z216&gt;=2,IF(X216&gt;=20,"H",IF(X216&lt;=5,"L","A")),IF(X216&lt;=19,"L","A"))),
     IF(OR(V216="ALI",V216="AIE"),IF(Z216&gt;=6,IF(X216&gt;=20,"H","A"),IF(Z216&gt;=2,IF(X216&gt;=51,"H",IF(X216&lt;=19,"L","A")),IF(X216&lt;=50,"L","A"))))))),
IF('Dados da OS'!$D$8=Parâmetros!$B$6,"Indicativa",
IF('Dados da OS'!$D$8=Parâmetros!$B$5,"PFS","")))</f>
        <v/>
      </c>
      <c r="AF216" s="57">
        <f>IFERROR(VLOOKUP(W216,'Fatores de Impacto e INMs'!$A$3:$D$32,3,0),1)</f>
        <v>1</v>
      </c>
      <c r="AG216" s="57">
        <f>IFERROR(VLOOKUP(W216,'Fatores de Impacto e INMs'!$A$3:$E$32,5,0),1)</f>
        <v>1</v>
      </c>
      <c r="AH216" s="82" t="str">
        <f xml:space="preserve">
IF(OR('Dados da OS'!$D$8="Selecione o tipo da contagem",ISBLANK('Dados da OS'!$D$8),V216="INM",V216="N/A",ISBLANK(V216),ISBLANK(W216),AG216="VF"),"-",
   IF('Dados da OS'!$D$8=Parâmetros!$B$3,
      IF(OR(ISBLANK(X216),ISBLANK(Z216)),"-",
         IF(AE216="L","Baixa",IF(AE216="A","Média",IF(AE216="H","Alta","-")))),
      IF('Dados da OS'!$D$8=Parâmetros!$B$4,
         IF(OR(V216="ALI",V216="AIE"),"Baixa",IF(OR(V216="EE",V216="SE",V216="CE"),"Média","-")),
         IF(OR('Dados da OS'!$D$8=Parâmetros!$B$5,'Dados da OS'!$D$8=Parâmetros!$B$6),"-"))))</f>
        <v>-</v>
      </c>
      <c r="AI216" s="83" t="str">
        <f xml:space="preserve">
IF(OR(ISBLANK(V216),ISBLANK(U216),ISBLANK(W216),V216="N/A",ISBLANK('Dados da OS'!$D$8)),"",
   IF(OR('Dados da OS'!$D$8=Parâmetros!$B$3,'Dados da OS'!$D$8=Parâmetros!$B$4),
      IF(OR(AND(V216="INM",AG216&lt;&gt;"VF"),AND(AG216="VF",V216&lt;&gt;"INM")),"",
        IF(AND(V216="INM",AG216="VF"),IF(ISBLANK(AB216),"",AF216*AB216),
        IF('Dados da OS'!$D$8=Parâmetros!$B$4,
           IF(OR(V216="CE",V216="EE"),4,IF(V216="SE",5,IF(V216="ALI",7,IF(V216="AIE",5,"")))),
        IF('Dados da OS'!$D$8=Parâmetros!$B$3,
           IF(OR(ISBLANK(X216),ISBLANK(Z216)),"",
              IF(V216="ALI",IF(AE216="L",7,IF(AE216="A",10,15)),
                 IF(V216="AIE",IF(AE216="L",5,IF(AE216="A",7,10)),
                    IF(V216="SE",IF(AE216="L",4,IF(AE216="A",5,7)),
                       IF(OR(V216="EE",V216="CE"),IF(AE216="L",3,IF(AE216="A",4,6)),""))))))))),
   IF('Dados da OS'!$D$8=Parâmetros!$B$5,
      IF(OR(AND(V216="INM",AG216&lt;&gt;"VF"),AND(AG216="VF",V216&lt;&gt;"INM")),"",
         IF(V216="INM",IF(AG216="VF",AF216*AB216,""),
            IF(V216="PE",4.6,
            IF(V216="AL",7,"")))),
   IF('Dados da OS'!$D$8=Parâmetros!$B$6,
      IF(V216="ALI",35,IF(V216="AIE",15,"")),""))
    )
)</f>
        <v/>
      </c>
      <c r="AJ216" s="82" t="str">
        <f t="shared" si="28"/>
        <v/>
      </c>
      <c r="AK216" s="84"/>
      <c r="AL216" s="85" t="s">
        <v>21</v>
      </c>
      <c r="AM216" s="86"/>
      <c r="AN216" s="85"/>
      <c r="AO216" s="87"/>
      <c r="AP216" s="85"/>
      <c r="AQ216" s="86"/>
      <c r="AR216" s="85"/>
    </row>
    <row r="217" spans="1:44" ht="15.75" customHeight="1">
      <c r="A217" s="54"/>
      <c r="B217" s="100"/>
      <c r="C217" s="55"/>
      <c r="D217" s="55"/>
      <c r="E217" s="56"/>
      <c r="F217" s="55"/>
      <c r="G217" s="56"/>
      <c r="H217" s="55"/>
      <c r="I217" s="64"/>
      <c r="J217" s="57" t="str">
        <f t="shared" si="23"/>
        <v/>
      </c>
      <c r="K217" s="57" t="str">
        <f t="shared" si="24"/>
        <v/>
      </c>
      <c r="L217" s="57" t="str">
        <f xml:space="preserve">
IF(OR('Dados da OS'!$D$8=Parâmetros!$B$3,'Dados da OS'!$D$8=Parâmetros!$B$4),
  IF(OR(ISBLANK(D217),ISBLANK(F217)),
     IF(OR(B217="ALI",B217="AIE"),"L",IF(ISBLANK(B217),"","A")),
     IF(B217="EE",IF(F217&gt;=3,IF(D217&gt;=5,"H","A"),
     IF(F217&gt;=2,IF(D217&gt;=16,"H",IF(D217&lt;=4,"L","A")),IF(D217&lt;=15,"L","A"))),
     IF(OR(B217="SE",B217="CE"),IF(F217&gt;=4,IF(D217&gt;=6,"H","A"),IF(F217&gt;=2,IF(D217&gt;=20,"H",IF(D217&lt;=5,"L","A")),IF(D217&lt;=19,"L","A"))),
     IF(OR(B217="ALI",B217="AIE"),IF(F217&gt;=6,IF(D217&gt;=20,"H","A"),IF(F217&gt;=2,IF(D217&gt;=51,"H",IF(D217&lt;=19,"L","A")),IF(D217&lt;=50,"L","A"))))))),
IF('Dados da OS'!$D$8=Parâmetros!$B$6,"Indicativa",
IF('Dados da OS'!$D$8=Parâmetros!$B$5,"PFS","")))</f>
        <v/>
      </c>
      <c r="M217" s="57">
        <f>IFERROR(VLOOKUP(C217,'Fatores de Impacto e INMs'!$A$3:$D$32,3,0),1)</f>
        <v>1</v>
      </c>
      <c r="N217" s="57">
        <f>IFERROR(VLOOKUP(C217,'Fatores de Impacto e INMs'!$A$3:$E$32,5,0),1)</f>
        <v>1</v>
      </c>
      <c r="O217" s="63" t="str">
        <f xml:space="preserve">
IF(OR('Dados da OS'!$D$8="Selecione o tipo da contagem",ISBLANK('Dados da OS'!$D$8),B217="INM",B217="N/A",ISBLANK(B217),ISBLANK(C217),N217="VF"),"-",
   IF('Dados da OS'!$D$8=Parâmetros!$B$3,
      IF(OR(ISBLANK(D217),ISBLANK(F217)),"-",
         IF(L217="L","Baixa",IF(L217="A","Média",IF(L217="H","Alta","-")))),
      IF('Dados da OS'!$D$8=Parâmetros!$B$4,
         IF(OR(B217="ALI",B217="AIE"),"Baixa",IF(OR(B217="EE",B217="SE",B217="CE"),"Média","-")),
         IF(OR('Dados da OS'!$D$8=Parâmetros!$B$5,'Dados da OS'!$D$8=Parâmetros!$B$6),"-"))))</f>
        <v>-</v>
      </c>
      <c r="P217" s="59" t="str">
        <f xml:space="preserve">
IF(OR(ISBLANK(B217),ISBLANK(C217),B217="N/A",ISBLANK('Dados da OS'!$D$8)),"",
   IF(OR('Dados da OS'!$D$8=Parâmetros!$B$3,'Dados da OS'!$D$8=Parâmetros!$B$4),
      IF(OR(AND(B217="INM",N217&lt;&gt;"VF"),AND(N217="VF",B217&lt;&gt;"INM")),"",
        IF(AND(B217="INM",N217="VF"),IF(ISBLANK(H217),"",M217*H217),
        IF('Dados da OS'!$D$8=Parâmetros!$B$4,
           IF(OR(B217="CE",B217="EE"),4,IF(B217="SE",5,IF(B217="ALI",7,IF(B217="AIE",5,"")))),
        IF('Dados da OS'!$D$8=Parâmetros!$B$3,
           IF(OR(ISBLANK(D217),ISBLANK(F217)),"",
              IF(B217="ALI",IF(L217="L",7,IF(L217="A",10,15)),
                 IF(B217="AIE",IF(L217="L",5,IF(L217="A",7,10)),
                    IF(B217="SE",IF(L217="L",4,IF(L217="A",5,7)),
                       IF(OR(B217="EE",B217="CE"),IF(L217="L",3,IF(L217="A",4,6)),""))))))))),
   IF('Dados da OS'!$D$8=Parâmetros!$B$5,
      IF(OR(AND(B217="INM",N217&lt;&gt;"VF"),AND(N217="VF",B217&lt;&gt;"INM")),"",
         IF(B217="INM",IF(N217="VF",M217*H217,""),
            IF(B217="PE",4.6,
            IF(B217="AL",7,"")))),
   IF('Dados da OS'!$D$8=Parâmetros!$B$6,
      IF(B217="ALI",35,IF(B217="AIE",15,"")),""))
    )
)</f>
        <v/>
      </c>
      <c r="Q217" s="60" t="str">
        <f t="shared" si="25"/>
        <v/>
      </c>
      <c r="R217" s="61"/>
      <c r="S217" s="62"/>
      <c r="T217" s="80" t="s">
        <v>21</v>
      </c>
      <c r="U217" s="81"/>
      <c r="V217" s="99"/>
      <c r="W217" s="55"/>
      <c r="X217" s="55"/>
      <c r="Y217" s="56"/>
      <c r="Z217" s="55"/>
      <c r="AA217" s="56"/>
      <c r="AB217" s="55"/>
      <c r="AC217" s="57" t="str">
        <f t="shared" si="26"/>
        <v/>
      </c>
      <c r="AD217" s="57" t="str">
        <f t="shared" si="27"/>
        <v/>
      </c>
      <c r="AE217" s="57" t="str">
        <f xml:space="preserve">
IF(OR('Dados da OS'!$D$8=Parâmetros!$B$3,'Dados da OS'!$D$8=Parâmetros!$B$4),
  IF(OR(ISBLANK(X217),ISBLANK(Z217)),
     IF(OR(V217="ALI",V217="AIE"),"L",IF(ISBLANK(V217),"","A")),
     IF(V217="EE",IF(Z217&gt;=3,IF(X217&gt;=5,"H","A"),
     IF(Z217&gt;=2,IF(X217&gt;=16,"H",IF(X217&lt;=4,"L","A")),IF(X217&lt;=15,"L","A"))),
     IF(OR(V217="SE",V217="CE"),IF(Z217&gt;=4,IF(X217&gt;=6,"H","A"),IF(Z217&gt;=2,IF(X217&gt;=20,"H",IF(X217&lt;=5,"L","A")),IF(X217&lt;=19,"L","A"))),
     IF(OR(V217="ALI",V217="AIE"),IF(Z217&gt;=6,IF(X217&gt;=20,"H","A"),IF(Z217&gt;=2,IF(X217&gt;=51,"H",IF(X217&lt;=19,"L","A")),IF(X217&lt;=50,"L","A"))))))),
IF('Dados da OS'!$D$8=Parâmetros!$B$6,"Indicativa",
IF('Dados da OS'!$D$8=Parâmetros!$B$5,"PFS","")))</f>
        <v/>
      </c>
      <c r="AF217" s="57">
        <f>IFERROR(VLOOKUP(W217,'Fatores de Impacto e INMs'!$A$3:$D$32,3,0),1)</f>
        <v>1</v>
      </c>
      <c r="AG217" s="57">
        <f>IFERROR(VLOOKUP(W217,'Fatores de Impacto e INMs'!$A$3:$E$32,5,0),1)</f>
        <v>1</v>
      </c>
      <c r="AH217" s="82" t="str">
        <f xml:space="preserve">
IF(OR('Dados da OS'!$D$8="Selecione o tipo da contagem",ISBLANK('Dados da OS'!$D$8),V217="INM",V217="N/A",ISBLANK(V217),ISBLANK(W217),AG217="VF"),"-",
   IF('Dados da OS'!$D$8=Parâmetros!$B$3,
      IF(OR(ISBLANK(X217),ISBLANK(Z217)),"-",
         IF(AE217="L","Baixa",IF(AE217="A","Média",IF(AE217="H","Alta","-")))),
      IF('Dados da OS'!$D$8=Parâmetros!$B$4,
         IF(OR(V217="ALI",V217="AIE"),"Baixa",IF(OR(V217="EE",V217="SE",V217="CE"),"Média","-")),
         IF(OR('Dados da OS'!$D$8=Parâmetros!$B$5,'Dados da OS'!$D$8=Parâmetros!$B$6),"-"))))</f>
        <v>-</v>
      </c>
      <c r="AI217" s="83" t="str">
        <f xml:space="preserve">
IF(OR(ISBLANK(V217),ISBLANK(U217),ISBLANK(W217),V217="N/A",ISBLANK('Dados da OS'!$D$8)),"",
   IF(OR('Dados da OS'!$D$8=Parâmetros!$B$3,'Dados da OS'!$D$8=Parâmetros!$B$4),
      IF(OR(AND(V217="INM",AG217&lt;&gt;"VF"),AND(AG217="VF",V217&lt;&gt;"INM")),"",
        IF(AND(V217="INM",AG217="VF"),IF(ISBLANK(AB217),"",AF217*AB217),
        IF('Dados da OS'!$D$8=Parâmetros!$B$4,
           IF(OR(V217="CE",V217="EE"),4,IF(V217="SE",5,IF(V217="ALI",7,IF(V217="AIE",5,"")))),
        IF('Dados da OS'!$D$8=Parâmetros!$B$3,
           IF(OR(ISBLANK(X217),ISBLANK(Z217)),"",
              IF(V217="ALI",IF(AE217="L",7,IF(AE217="A",10,15)),
                 IF(V217="AIE",IF(AE217="L",5,IF(AE217="A",7,10)),
                    IF(V217="SE",IF(AE217="L",4,IF(AE217="A",5,7)),
                       IF(OR(V217="EE",V217="CE"),IF(AE217="L",3,IF(AE217="A",4,6)),""))))))))),
   IF('Dados da OS'!$D$8=Parâmetros!$B$5,
      IF(OR(AND(V217="INM",AG217&lt;&gt;"VF"),AND(AG217="VF",V217&lt;&gt;"INM")),"",
         IF(V217="INM",IF(AG217="VF",AF217*AB217,""),
            IF(V217="PE",4.6,
            IF(V217="AL",7,"")))),
   IF('Dados da OS'!$D$8=Parâmetros!$B$6,
      IF(V217="ALI",35,IF(V217="AIE",15,"")),""))
    )
)</f>
        <v/>
      </c>
      <c r="AJ217" s="82" t="str">
        <f t="shared" si="28"/>
        <v/>
      </c>
      <c r="AK217" s="84"/>
      <c r="AL217" s="85" t="s">
        <v>21</v>
      </c>
      <c r="AM217" s="86"/>
      <c r="AN217" s="85"/>
      <c r="AO217" s="87"/>
      <c r="AP217" s="85"/>
      <c r="AQ217" s="86"/>
      <c r="AR217" s="85"/>
    </row>
    <row r="218" spans="1:44" ht="15.75" customHeight="1">
      <c r="A218" s="54"/>
      <c r="B218" s="100"/>
      <c r="C218" s="55"/>
      <c r="D218" s="55"/>
      <c r="E218" s="56"/>
      <c r="F218" s="55"/>
      <c r="G218" s="56"/>
      <c r="H218" s="55"/>
      <c r="I218" s="64"/>
      <c r="J218" s="57" t="str">
        <f t="shared" si="23"/>
        <v/>
      </c>
      <c r="K218" s="57" t="str">
        <f t="shared" si="24"/>
        <v/>
      </c>
      <c r="L218" s="57" t="str">
        <f xml:space="preserve">
IF(OR('Dados da OS'!$D$8=Parâmetros!$B$3,'Dados da OS'!$D$8=Parâmetros!$B$4),
  IF(OR(ISBLANK(D218),ISBLANK(F218)),
     IF(OR(B218="ALI",B218="AIE"),"L",IF(ISBLANK(B218),"","A")),
     IF(B218="EE",IF(F218&gt;=3,IF(D218&gt;=5,"H","A"),
     IF(F218&gt;=2,IF(D218&gt;=16,"H",IF(D218&lt;=4,"L","A")),IF(D218&lt;=15,"L","A"))),
     IF(OR(B218="SE",B218="CE"),IF(F218&gt;=4,IF(D218&gt;=6,"H","A"),IF(F218&gt;=2,IF(D218&gt;=20,"H",IF(D218&lt;=5,"L","A")),IF(D218&lt;=19,"L","A"))),
     IF(OR(B218="ALI",B218="AIE"),IF(F218&gt;=6,IF(D218&gt;=20,"H","A"),IF(F218&gt;=2,IF(D218&gt;=51,"H",IF(D218&lt;=19,"L","A")),IF(D218&lt;=50,"L","A"))))))),
IF('Dados da OS'!$D$8=Parâmetros!$B$6,"Indicativa",
IF('Dados da OS'!$D$8=Parâmetros!$B$5,"PFS","")))</f>
        <v/>
      </c>
      <c r="M218" s="57">
        <f>IFERROR(VLOOKUP(C218,'Fatores de Impacto e INMs'!$A$3:$D$32,3,0),1)</f>
        <v>1</v>
      </c>
      <c r="N218" s="57">
        <f>IFERROR(VLOOKUP(C218,'Fatores de Impacto e INMs'!$A$3:$E$32,5,0),1)</f>
        <v>1</v>
      </c>
      <c r="O218" s="63" t="str">
        <f xml:space="preserve">
IF(OR('Dados da OS'!$D$8="Selecione o tipo da contagem",ISBLANK('Dados da OS'!$D$8),B218="INM",B218="N/A",ISBLANK(B218),ISBLANK(C218),N218="VF"),"-",
   IF('Dados da OS'!$D$8=Parâmetros!$B$3,
      IF(OR(ISBLANK(D218),ISBLANK(F218)),"-",
         IF(L218="L","Baixa",IF(L218="A","Média",IF(L218="H","Alta","-")))),
      IF('Dados da OS'!$D$8=Parâmetros!$B$4,
         IF(OR(B218="ALI",B218="AIE"),"Baixa",IF(OR(B218="EE",B218="SE",B218="CE"),"Média","-")),
         IF(OR('Dados da OS'!$D$8=Parâmetros!$B$5,'Dados da OS'!$D$8=Parâmetros!$B$6),"-"))))</f>
        <v>-</v>
      </c>
      <c r="P218" s="59" t="str">
        <f xml:space="preserve">
IF(OR(ISBLANK(B218),ISBLANK(C218),B218="N/A",ISBLANK('Dados da OS'!$D$8)),"",
   IF(OR('Dados da OS'!$D$8=Parâmetros!$B$3,'Dados da OS'!$D$8=Parâmetros!$B$4),
      IF(OR(AND(B218="INM",N218&lt;&gt;"VF"),AND(N218="VF",B218&lt;&gt;"INM")),"",
        IF(AND(B218="INM",N218="VF"),IF(ISBLANK(H218),"",M218*H218),
        IF('Dados da OS'!$D$8=Parâmetros!$B$4,
           IF(OR(B218="CE",B218="EE"),4,IF(B218="SE",5,IF(B218="ALI",7,IF(B218="AIE",5,"")))),
        IF('Dados da OS'!$D$8=Parâmetros!$B$3,
           IF(OR(ISBLANK(D218),ISBLANK(F218)),"",
              IF(B218="ALI",IF(L218="L",7,IF(L218="A",10,15)),
                 IF(B218="AIE",IF(L218="L",5,IF(L218="A",7,10)),
                    IF(B218="SE",IF(L218="L",4,IF(L218="A",5,7)),
                       IF(OR(B218="EE",B218="CE"),IF(L218="L",3,IF(L218="A",4,6)),""))))))))),
   IF('Dados da OS'!$D$8=Parâmetros!$B$5,
      IF(OR(AND(B218="INM",N218&lt;&gt;"VF"),AND(N218="VF",B218&lt;&gt;"INM")),"",
         IF(B218="INM",IF(N218="VF",M218*H218,""),
            IF(B218="PE",4.6,
            IF(B218="AL",7,"")))),
   IF('Dados da OS'!$D$8=Parâmetros!$B$6,
      IF(B218="ALI",35,IF(B218="AIE",15,"")),""))
    )
)</f>
        <v/>
      </c>
      <c r="Q218" s="60" t="str">
        <f t="shared" si="25"/>
        <v/>
      </c>
      <c r="R218" s="61"/>
      <c r="S218" s="62"/>
      <c r="T218" s="80" t="s">
        <v>21</v>
      </c>
      <c r="U218" s="81"/>
      <c r="V218" s="99"/>
      <c r="W218" s="55"/>
      <c r="X218" s="55"/>
      <c r="Y218" s="56"/>
      <c r="Z218" s="55"/>
      <c r="AA218" s="56"/>
      <c r="AB218" s="55"/>
      <c r="AC218" s="57" t="str">
        <f t="shared" si="26"/>
        <v/>
      </c>
      <c r="AD218" s="57" t="str">
        <f t="shared" si="27"/>
        <v/>
      </c>
      <c r="AE218" s="57" t="str">
        <f xml:space="preserve">
IF(OR('Dados da OS'!$D$8=Parâmetros!$B$3,'Dados da OS'!$D$8=Parâmetros!$B$4),
  IF(OR(ISBLANK(X218),ISBLANK(Z218)),
     IF(OR(V218="ALI",V218="AIE"),"L",IF(ISBLANK(V218),"","A")),
     IF(V218="EE",IF(Z218&gt;=3,IF(X218&gt;=5,"H","A"),
     IF(Z218&gt;=2,IF(X218&gt;=16,"H",IF(X218&lt;=4,"L","A")),IF(X218&lt;=15,"L","A"))),
     IF(OR(V218="SE",V218="CE"),IF(Z218&gt;=4,IF(X218&gt;=6,"H","A"),IF(Z218&gt;=2,IF(X218&gt;=20,"H",IF(X218&lt;=5,"L","A")),IF(X218&lt;=19,"L","A"))),
     IF(OR(V218="ALI",V218="AIE"),IF(Z218&gt;=6,IF(X218&gt;=20,"H","A"),IF(Z218&gt;=2,IF(X218&gt;=51,"H",IF(X218&lt;=19,"L","A")),IF(X218&lt;=50,"L","A"))))))),
IF('Dados da OS'!$D$8=Parâmetros!$B$6,"Indicativa",
IF('Dados da OS'!$D$8=Parâmetros!$B$5,"PFS","")))</f>
        <v/>
      </c>
      <c r="AF218" s="57">
        <f>IFERROR(VLOOKUP(W218,'Fatores de Impacto e INMs'!$A$3:$D$32,3,0),1)</f>
        <v>1</v>
      </c>
      <c r="AG218" s="57">
        <f>IFERROR(VLOOKUP(W218,'Fatores de Impacto e INMs'!$A$3:$E$32,5,0),1)</f>
        <v>1</v>
      </c>
      <c r="AH218" s="82" t="str">
        <f xml:space="preserve">
IF(OR('Dados da OS'!$D$8="Selecione o tipo da contagem",ISBLANK('Dados da OS'!$D$8),V218="INM",V218="N/A",ISBLANK(V218),ISBLANK(W218),AG218="VF"),"-",
   IF('Dados da OS'!$D$8=Parâmetros!$B$3,
      IF(OR(ISBLANK(X218),ISBLANK(Z218)),"-",
         IF(AE218="L","Baixa",IF(AE218="A","Média",IF(AE218="H","Alta","-")))),
      IF('Dados da OS'!$D$8=Parâmetros!$B$4,
         IF(OR(V218="ALI",V218="AIE"),"Baixa",IF(OR(V218="EE",V218="SE",V218="CE"),"Média","-")),
         IF(OR('Dados da OS'!$D$8=Parâmetros!$B$5,'Dados da OS'!$D$8=Parâmetros!$B$6),"-"))))</f>
        <v>-</v>
      </c>
      <c r="AI218" s="83" t="str">
        <f xml:space="preserve">
IF(OR(ISBLANK(V218),ISBLANK(U218),ISBLANK(W218),V218="N/A",ISBLANK('Dados da OS'!$D$8)),"",
   IF(OR('Dados da OS'!$D$8=Parâmetros!$B$3,'Dados da OS'!$D$8=Parâmetros!$B$4),
      IF(OR(AND(V218="INM",AG218&lt;&gt;"VF"),AND(AG218="VF",V218&lt;&gt;"INM")),"",
        IF(AND(V218="INM",AG218="VF"),IF(ISBLANK(AB218),"",AF218*AB218),
        IF('Dados da OS'!$D$8=Parâmetros!$B$4,
           IF(OR(V218="CE",V218="EE"),4,IF(V218="SE",5,IF(V218="ALI",7,IF(V218="AIE",5,"")))),
        IF('Dados da OS'!$D$8=Parâmetros!$B$3,
           IF(OR(ISBLANK(X218),ISBLANK(Z218)),"",
              IF(V218="ALI",IF(AE218="L",7,IF(AE218="A",10,15)),
                 IF(V218="AIE",IF(AE218="L",5,IF(AE218="A",7,10)),
                    IF(V218="SE",IF(AE218="L",4,IF(AE218="A",5,7)),
                       IF(OR(V218="EE",V218="CE"),IF(AE218="L",3,IF(AE218="A",4,6)),""))))))))),
   IF('Dados da OS'!$D$8=Parâmetros!$B$5,
      IF(OR(AND(V218="INM",AG218&lt;&gt;"VF"),AND(AG218="VF",V218&lt;&gt;"INM")),"",
         IF(V218="INM",IF(AG218="VF",AF218*AB218,""),
            IF(V218="PE",4.6,
            IF(V218="AL",7,"")))),
   IF('Dados da OS'!$D$8=Parâmetros!$B$6,
      IF(V218="ALI",35,IF(V218="AIE",15,"")),""))
    )
)</f>
        <v/>
      </c>
      <c r="AJ218" s="82" t="str">
        <f t="shared" si="28"/>
        <v/>
      </c>
      <c r="AK218" s="84"/>
      <c r="AL218" s="85" t="s">
        <v>21</v>
      </c>
      <c r="AM218" s="86"/>
      <c r="AN218" s="85"/>
      <c r="AO218" s="87"/>
      <c r="AP218" s="85"/>
      <c r="AQ218" s="86"/>
      <c r="AR218" s="85"/>
    </row>
    <row r="219" spans="1:44" ht="15.75" customHeight="1">
      <c r="A219" s="54"/>
      <c r="B219" s="100"/>
      <c r="C219" s="55"/>
      <c r="D219" s="55"/>
      <c r="E219" s="56"/>
      <c r="F219" s="55"/>
      <c r="G219" s="56"/>
      <c r="H219" s="55"/>
      <c r="I219" s="64"/>
      <c r="J219" s="57" t="str">
        <f t="shared" si="23"/>
        <v/>
      </c>
      <c r="K219" s="57" t="str">
        <f t="shared" si="24"/>
        <v/>
      </c>
      <c r="L219" s="57" t="str">
        <f xml:space="preserve">
IF(OR('Dados da OS'!$D$8=Parâmetros!$B$3,'Dados da OS'!$D$8=Parâmetros!$B$4),
  IF(OR(ISBLANK(D219),ISBLANK(F219)),
     IF(OR(B219="ALI",B219="AIE"),"L",IF(ISBLANK(B219),"","A")),
     IF(B219="EE",IF(F219&gt;=3,IF(D219&gt;=5,"H","A"),
     IF(F219&gt;=2,IF(D219&gt;=16,"H",IF(D219&lt;=4,"L","A")),IF(D219&lt;=15,"L","A"))),
     IF(OR(B219="SE",B219="CE"),IF(F219&gt;=4,IF(D219&gt;=6,"H","A"),IF(F219&gt;=2,IF(D219&gt;=20,"H",IF(D219&lt;=5,"L","A")),IF(D219&lt;=19,"L","A"))),
     IF(OR(B219="ALI",B219="AIE"),IF(F219&gt;=6,IF(D219&gt;=20,"H","A"),IF(F219&gt;=2,IF(D219&gt;=51,"H",IF(D219&lt;=19,"L","A")),IF(D219&lt;=50,"L","A"))))))),
IF('Dados da OS'!$D$8=Parâmetros!$B$6,"Indicativa",
IF('Dados da OS'!$D$8=Parâmetros!$B$5,"PFS","")))</f>
        <v/>
      </c>
      <c r="M219" s="57">
        <f>IFERROR(VLOOKUP(C219,'Fatores de Impacto e INMs'!$A$3:$D$32,3,0),1)</f>
        <v>1</v>
      </c>
      <c r="N219" s="57">
        <f>IFERROR(VLOOKUP(C219,'Fatores de Impacto e INMs'!$A$3:$E$32,5,0),1)</f>
        <v>1</v>
      </c>
      <c r="O219" s="63" t="str">
        <f xml:space="preserve">
IF(OR('Dados da OS'!$D$8="Selecione o tipo da contagem",ISBLANK('Dados da OS'!$D$8),B219="INM",B219="N/A",ISBLANK(B219),ISBLANK(C219),N219="VF"),"-",
   IF('Dados da OS'!$D$8=Parâmetros!$B$3,
      IF(OR(ISBLANK(D219),ISBLANK(F219)),"-",
         IF(L219="L","Baixa",IF(L219="A","Média",IF(L219="H","Alta","-")))),
      IF('Dados da OS'!$D$8=Parâmetros!$B$4,
         IF(OR(B219="ALI",B219="AIE"),"Baixa",IF(OR(B219="EE",B219="SE",B219="CE"),"Média","-")),
         IF(OR('Dados da OS'!$D$8=Parâmetros!$B$5,'Dados da OS'!$D$8=Parâmetros!$B$6),"-"))))</f>
        <v>-</v>
      </c>
      <c r="P219" s="59" t="str">
        <f xml:space="preserve">
IF(OR(ISBLANK(B219),ISBLANK(C219),B219="N/A",ISBLANK('Dados da OS'!$D$8)),"",
   IF(OR('Dados da OS'!$D$8=Parâmetros!$B$3,'Dados da OS'!$D$8=Parâmetros!$B$4),
      IF(OR(AND(B219="INM",N219&lt;&gt;"VF"),AND(N219="VF",B219&lt;&gt;"INM")),"",
        IF(AND(B219="INM",N219="VF"),IF(ISBLANK(H219),"",M219*H219),
        IF('Dados da OS'!$D$8=Parâmetros!$B$4,
           IF(OR(B219="CE",B219="EE"),4,IF(B219="SE",5,IF(B219="ALI",7,IF(B219="AIE",5,"")))),
        IF('Dados da OS'!$D$8=Parâmetros!$B$3,
           IF(OR(ISBLANK(D219),ISBLANK(F219)),"",
              IF(B219="ALI",IF(L219="L",7,IF(L219="A",10,15)),
                 IF(B219="AIE",IF(L219="L",5,IF(L219="A",7,10)),
                    IF(B219="SE",IF(L219="L",4,IF(L219="A",5,7)),
                       IF(OR(B219="EE",B219="CE"),IF(L219="L",3,IF(L219="A",4,6)),""))))))))),
   IF('Dados da OS'!$D$8=Parâmetros!$B$5,
      IF(OR(AND(B219="INM",N219&lt;&gt;"VF"),AND(N219="VF",B219&lt;&gt;"INM")),"",
         IF(B219="INM",IF(N219="VF",M219*H219,""),
            IF(B219="PE",4.6,
            IF(B219="AL",7,"")))),
   IF('Dados da OS'!$D$8=Parâmetros!$B$6,
      IF(B219="ALI",35,IF(B219="AIE",15,"")),""))
    )
)</f>
        <v/>
      </c>
      <c r="Q219" s="60" t="str">
        <f t="shared" si="25"/>
        <v/>
      </c>
      <c r="R219" s="61"/>
      <c r="S219" s="62"/>
      <c r="T219" s="80" t="s">
        <v>21</v>
      </c>
      <c r="U219" s="81"/>
      <c r="V219" s="99"/>
      <c r="W219" s="55"/>
      <c r="X219" s="55"/>
      <c r="Y219" s="56"/>
      <c r="Z219" s="55"/>
      <c r="AA219" s="56"/>
      <c r="AB219" s="55"/>
      <c r="AC219" s="57" t="str">
        <f t="shared" si="26"/>
        <v/>
      </c>
      <c r="AD219" s="57" t="str">
        <f t="shared" si="27"/>
        <v/>
      </c>
      <c r="AE219" s="57" t="str">
        <f xml:space="preserve">
IF(OR('Dados da OS'!$D$8=Parâmetros!$B$3,'Dados da OS'!$D$8=Parâmetros!$B$4),
  IF(OR(ISBLANK(X219),ISBLANK(Z219)),
     IF(OR(V219="ALI",V219="AIE"),"L",IF(ISBLANK(V219),"","A")),
     IF(V219="EE",IF(Z219&gt;=3,IF(X219&gt;=5,"H","A"),
     IF(Z219&gt;=2,IF(X219&gt;=16,"H",IF(X219&lt;=4,"L","A")),IF(X219&lt;=15,"L","A"))),
     IF(OR(V219="SE",V219="CE"),IF(Z219&gt;=4,IF(X219&gt;=6,"H","A"),IF(Z219&gt;=2,IF(X219&gt;=20,"H",IF(X219&lt;=5,"L","A")),IF(X219&lt;=19,"L","A"))),
     IF(OR(V219="ALI",V219="AIE"),IF(Z219&gt;=6,IF(X219&gt;=20,"H","A"),IF(Z219&gt;=2,IF(X219&gt;=51,"H",IF(X219&lt;=19,"L","A")),IF(X219&lt;=50,"L","A"))))))),
IF('Dados da OS'!$D$8=Parâmetros!$B$6,"Indicativa",
IF('Dados da OS'!$D$8=Parâmetros!$B$5,"PFS","")))</f>
        <v/>
      </c>
      <c r="AF219" s="57">
        <f>IFERROR(VLOOKUP(W219,'Fatores de Impacto e INMs'!$A$3:$D$32,3,0),1)</f>
        <v>1</v>
      </c>
      <c r="AG219" s="57">
        <f>IFERROR(VLOOKUP(W219,'Fatores de Impacto e INMs'!$A$3:$E$32,5,0),1)</f>
        <v>1</v>
      </c>
      <c r="AH219" s="82" t="str">
        <f xml:space="preserve">
IF(OR('Dados da OS'!$D$8="Selecione o tipo da contagem",ISBLANK('Dados da OS'!$D$8),V219="INM",V219="N/A",ISBLANK(V219),ISBLANK(W219),AG219="VF"),"-",
   IF('Dados da OS'!$D$8=Parâmetros!$B$3,
      IF(OR(ISBLANK(X219),ISBLANK(Z219)),"-",
         IF(AE219="L","Baixa",IF(AE219="A","Média",IF(AE219="H","Alta","-")))),
      IF('Dados da OS'!$D$8=Parâmetros!$B$4,
         IF(OR(V219="ALI",V219="AIE"),"Baixa",IF(OR(V219="EE",V219="SE",V219="CE"),"Média","-")),
         IF(OR('Dados da OS'!$D$8=Parâmetros!$B$5,'Dados da OS'!$D$8=Parâmetros!$B$6),"-"))))</f>
        <v>-</v>
      </c>
      <c r="AI219" s="83" t="str">
        <f xml:space="preserve">
IF(OR(ISBLANK(V219),ISBLANK(U219),ISBLANK(W219),V219="N/A",ISBLANK('Dados da OS'!$D$8)),"",
   IF(OR('Dados da OS'!$D$8=Parâmetros!$B$3,'Dados da OS'!$D$8=Parâmetros!$B$4),
      IF(OR(AND(V219="INM",AG219&lt;&gt;"VF"),AND(AG219="VF",V219&lt;&gt;"INM")),"",
        IF(AND(V219="INM",AG219="VF"),IF(ISBLANK(AB219),"",AF219*AB219),
        IF('Dados da OS'!$D$8=Parâmetros!$B$4,
           IF(OR(V219="CE",V219="EE"),4,IF(V219="SE",5,IF(V219="ALI",7,IF(V219="AIE",5,"")))),
        IF('Dados da OS'!$D$8=Parâmetros!$B$3,
           IF(OR(ISBLANK(X219),ISBLANK(Z219)),"",
              IF(V219="ALI",IF(AE219="L",7,IF(AE219="A",10,15)),
                 IF(V219="AIE",IF(AE219="L",5,IF(AE219="A",7,10)),
                    IF(V219="SE",IF(AE219="L",4,IF(AE219="A",5,7)),
                       IF(OR(V219="EE",V219="CE"),IF(AE219="L",3,IF(AE219="A",4,6)),""))))))))),
   IF('Dados da OS'!$D$8=Parâmetros!$B$5,
      IF(OR(AND(V219="INM",AG219&lt;&gt;"VF"),AND(AG219="VF",V219&lt;&gt;"INM")),"",
         IF(V219="INM",IF(AG219="VF",AF219*AB219,""),
            IF(V219="PE",4.6,
            IF(V219="AL",7,"")))),
   IF('Dados da OS'!$D$8=Parâmetros!$B$6,
      IF(V219="ALI",35,IF(V219="AIE",15,"")),""))
    )
)</f>
        <v/>
      </c>
      <c r="AJ219" s="82" t="str">
        <f t="shared" si="28"/>
        <v/>
      </c>
      <c r="AK219" s="84"/>
      <c r="AL219" s="85" t="s">
        <v>21</v>
      </c>
      <c r="AM219" s="86"/>
      <c r="AN219" s="85"/>
      <c r="AO219" s="87"/>
      <c r="AP219" s="85"/>
      <c r="AQ219" s="86"/>
      <c r="AR219" s="85"/>
    </row>
    <row r="220" spans="1:44" ht="15.75" customHeight="1">
      <c r="A220" s="54"/>
      <c r="B220" s="100"/>
      <c r="C220" s="55"/>
      <c r="D220" s="55"/>
      <c r="E220" s="56"/>
      <c r="F220" s="55"/>
      <c r="G220" s="56"/>
      <c r="H220" s="55"/>
      <c r="I220" s="64"/>
      <c r="J220" s="57" t="str">
        <f t="shared" si="23"/>
        <v/>
      </c>
      <c r="K220" s="57" t="str">
        <f t="shared" si="24"/>
        <v/>
      </c>
      <c r="L220" s="57" t="str">
        <f xml:space="preserve">
IF(OR('Dados da OS'!$D$8=Parâmetros!$B$3,'Dados da OS'!$D$8=Parâmetros!$B$4),
  IF(OR(ISBLANK(D220),ISBLANK(F220)),
     IF(OR(B220="ALI",B220="AIE"),"L",IF(ISBLANK(B220),"","A")),
     IF(B220="EE",IF(F220&gt;=3,IF(D220&gt;=5,"H","A"),
     IF(F220&gt;=2,IF(D220&gt;=16,"H",IF(D220&lt;=4,"L","A")),IF(D220&lt;=15,"L","A"))),
     IF(OR(B220="SE",B220="CE"),IF(F220&gt;=4,IF(D220&gt;=6,"H","A"),IF(F220&gt;=2,IF(D220&gt;=20,"H",IF(D220&lt;=5,"L","A")),IF(D220&lt;=19,"L","A"))),
     IF(OR(B220="ALI",B220="AIE"),IF(F220&gt;=6,IF(D220&gt;=20,"H","A"),IF(F220&gt;=2,IF(D220&gt;=51,"H",IF(D220&lt;=19,"L","A")),IF(D220&lt;=50,"L","A"))))))),
IF('Dados da OS'!$D$8=Parâmetros!$B$6,"Indicativa",
IF('Dados da OS'!$D$8=Parâmetros!$B$5,"PFS","")))</f>
        <v/>
      </c>
      <c r="M220" s="57">
        <f>IFERROR(VLOOKUP(C220,'Fatores de Impacto e INMs'!$A$3:$D$32,3,0),1)</f>
        <v>1</v>
      </c>
      <c r="N220" s="57">
        <f>IFERROR(VLOOKUP(C220,'Fatores de Impacto e INMs'!$A$3:$E$32,5,0),1)</f>
        <v>1</v>
      </c>
      <c r="O220" s="63" t="str">
        <f xml:space="preserve">
IF(OR('Dados da OS'!$D$8="Selecione o tipo da contagem",ISBLANK('Dados da OS'!$D$8),B220="INM",B220="N/A",ISBLANK(B220),ISBLANK(C220),N220="VF"),"-",
   IF('Dados da OS'!$D$8=Parâmetros!$B$3,
      IF(OR(ISBLANK(D220),ISBLANK(F220)),"-",
         IF(L220="L","Baixa",IF(L220="A","Média",IF(L220="H","Alta","-")))),
      IF('Dados da OS'!$D$8=Parâmetros!$B$4,
         IF(OR(B220="ALI",B220="AIE"),"Baixa",IF(OR(B220="EE",B220="SE",B220="CE"),"Média","-")),
         IF(OR('Dados da OS'!$D$8=Parâmetros!$B$5,'Dados da OS'!$D$8=Parâmetros!$B$6),"-"))))</f>
        <v>-</v>
      </c>
      <c r="P220" s="59" t="str">
        <f xml:space="preserve">
IF(OR(ISBLANK(B220),ISBLANK(C220),B220="N/A",ISBLANK('Dados da OS'!$D$8)),"",
   IF(OR('Dados da OS'!$D$8=Parâmetros!$B$3,'Dados da OS'!$D$8=Parâmetros!$B$4),
      IF(OR(AND(B220="INM",N220&lt;&gt;"VF"),AND(N220="VF",B220&lt;&gt;"INM")),"",
        IF(AND(B220="INM",N220="VF"),IF(ISBLANK(H220),"",M220*H220),
        IF('Dados da OS'!$D$8=Parâmetros!$B$4,
           IF(OR(B220="CE",B220="EE"),4,IF(B220="SE",5,IF(B220="ALI",7,IF(B220="AIE",5,"")))),
        IF('Dados da OS'!$D$8=Parâmetros!$B$3,
           IF(OR(ISBLANK(D220),ISBLANK(F220)),"",
              IF(B220="ALI",IF(L220="L",7,IF(L220="A",10,15)),
                 IF(B220="AIE",IF(L220="L",5,IF(L220="A",7,10)),
                    IF(B220="SE",IF(L220="L",4,IF(L220="A",5,7)),
                       IF(OR(B220="EE",B220="CE"),IF(L220="L",3,IF(L220="A",4,6)),""))))))))),
   IF('Dados da OS'!$D$8=Parâmetros!$B$5,
      IF(OR(AND(B220="INM",N220&lt;&gt;"VF"),AND(N220="VF",B220&lt;&gt;"INM")),"",
         IF(B220="INM",IF(N220="VF",M220*H220,""),
            IF(B220="PE",4.6,
            IF(B220="AL",7,"")))),
   IF('Dados da OS'!$D$8=Parâmetros!$B$6,
      IF(B220="ALI",35,IF(B220="AIE",15,"")),""))
    )
)</f>
        <v/>
      </c>
      <c r="Q220" s="60" t="str">
        <f t="shared" si="25"/>
        <v/>
      </c>
      <c r="R220" s="61"/>
      <c r="S220" s="62"/>
      <c r="T220" s="80" t="s">
        <v>21</v>
      </c>
      <c r="U220" s="81"/>
      <c r="V220" s="99"/>
      <c r="W220" s="55"/>
      <c r="X220" s="55"/>
      <c r="Y220" s="56"/>
      <c r="Z220" s="55"/>
      <c r="AA220" s="56"/>
      <c r="AB220" s="55"/>
      <c r="AC220" s="57" t="str">
        <f t="shared" si="26"/>
        <v/>
      </c>
      <c r="AD220" s="57" t="str">
        <f t="shared" si="27"/>
        <v/>
      </c>
      <c r="AE220" s="57" t="str">
        <f xml:space="preserve">
IF(OR('Dados da OS'!$D$8=Parâmetros!$B$3,'Dados da OS'!$D$8=Parâmetros!$B$4),
  IF(OR(ISBLANK(X220),ISBLANK(Z220)),
     IF(OR(V220="ALI",V220="AIE"),"L",IF(ISBLANK(V220),"","A")),
     IF(V220="EE",IF(Z220&gt;=3,IF(X220&gt;=5,"H","A"),
     IF(Z220&gt;=2,IF(X220&gt;=16,"H",IF(X220&lt;=4,"L","A")),IF(X220&lt;=15,"L","A"))),
     IF(OR(V220="SE",V220="CE"),IF(Z220&gt;=4,IF(X220&gt;=6,"H","A"),IF(Z220&gt;=2,IF(X220&gt;=20,"H",IF(X220&lt;=5,"L","A")),IF(X220&lt;=19,"L","A"))),
     IF(OR(V220="ALI",V220="AIE"),IF(Z220&gt;=6,IF(X220&gt;=20,"H","A"),IF(Z220&gt;=2,IF(X220&gt;=51,"H",IF(X220&lt;=19,"L","A")),IF(X220&lt;=50,"L","A"))))))),
IF('Dados da OS'!$D$8=Parâmetros!$B$6,"Indicativa",
IF('Dados da OS'!$D$8=Parâmetros!$B$5,"PFS","")))</f>
        <v/>
      </c>
      <c r="AF220" s="57">
        <f>IFERROR(VLOOKUP(W220,'Fatores de Impacto e INMs'!$A$3:$D$32,3,0),1)</f>
        <v>1</v>
      </c>
      <c r="AG220" s="57">
        <f>IFERROR(VLOOKUP(W220,'Fatores de Impacto e INMs'!$A$3:$E$32,5,0),1)</f>
        <v>1</v>
      </c>
      <c r="AH220" s="82" t="str">
        <f xml:space="preserve">
IF(OR('Dados da OS'!$D$8="Selecione o tipo da contagem",ISBLANK('Dados da OS'!$D$8),V220="INM",V220="N/A",ISBLANK(V220),ISBLANK(W220),AG220="VF"),"-",
   IF('Dados da OS'!$D$8=Parâmetros!$B$3,
      IF(OR(ISBLANK(X220),ISBLANK(Z220)),"-",
         IF(AE220="L","Baixa",IF(AE220="A","Média",IF(AE220="H","Alta","-")))),
      IF('Dados da OS'!$D$8=Parâmetros!$B$4,
         IF(OR(V220="ALI",V220="AIE"),"Baixa",IF(OR(V220="EE",V220="SE",V220="CE"),"Média","-")),
         IF(OR('Dados da OS'!$D$8=Parâmetros!$B$5,'Dados da OS'!$D$8=Parâmetros!$B$6),"-"))))</f>
        <v>-</v>
      </c>
      <c r="AI220" s="83" t="str">
        <f xml:space="preserve">
IF(OR(ISBLANK(V220),ISBLANK(U220),ISBLANK(W220),V220="N/A",ISBLANK('Dados da OS'!$D$8)),"",
   IF(OR('Dados da OS'!$D$8=Parâmetros!$B$3,'Dados da OS'!$D$8=Parâmetros!$B$4),
      IF(OR(AND(V220="INM",AG220&lt;&gt;"VF"),AND(AG220="VF",V220&lt;&gt;"INM")),"",
        IF(AND(V220="INM",AG220="VF"),IF(ISBLANK(AB220),"",AF220*AB220),
        IF('Dados da OS'!$D$8=Parâmetros!$B$4,
           IF(OR(V220="CE",V220="EE"),4,IF(V220="SE",5,IF(V220="ALI",7,IF(V220="AIE",5,"")))),
        IF('Dados da OS'!$D$8=Parâmetros!$B$3,
           IF(OR(ISBLANK(X220),ISBLANK(Z220)),"",
              IF(V220="ALI",IF(AE220="L",7,IF(AE220="A",10,15)),
                 IF(V220="AIE",IF(AE220="L",5,IF(AE220="A",7,10)),
                    IF(V220="SE",IF(AE220="L",4,IF(AE220="A",5,7)),
                       IF(OR(V220="EE",V220="CE"),IF(AE220="L",3,IF(AE220="A",4,6)),""))))))))),
   IF('Dados da OS'!$D$8=Parâmetros!$B$5,
      IF(OR(AND(V220="INM",AG220&lt;&gt;"VF"),AND(AG220="VF",V220&lt;&gt;"INM")),"",
         IF(V220="INM",IF(AG220="VF",AF220*AB220,""),
            IF(V220="PE",4.6,
            IF(V220="AL",7,"")))),
   IF('Dados da OS'!$D$8=Parâmetros!$B$6,
      IF(V220="ALI",35,IF(V220="AIE",15,"")),""))
    )
)</f>
        <v/>
      </c>
      <c r="AJ220" s="82" t="str">
        <f t="shared" si="28"/>
        <v/>
      </c>
      <c r="AK220" s="84"/>
      <c r="AL220" s="85" t="s">
        <v>21</v>
      </c>
      <c r="AM220" s="86"/>
      <c r="AN220" s="85"/>
      <c r="AO220" s="87"/>
      <c r="AP220" s="85"/>
      <c r="AQ220" s="86"/>
      <c r="AR220" s="85"/>
    </row>
    <row r="221" spans="1:44" ht="15.75" customHeight="1">
      <c r="A221" s="54"/>
      <c r="B221" s="100"/>
      <c r="C221" s="55"/>
      <c r="D221" s="55"/>
      <c r="E221" s="56"/>
      <c r="F221" s="55"/>
      <c r="G221" s="56"/>
      <c r="H221" s="55"/>
      <c r="I221" s="64"/>
      <c r="J221" s="57" t="str">
        <f t="shared" si="23"/>
        <v/>
      </c>
      <c r="K221" s="57" t="str">
        <f t="shared" si="24"/>
        <v/>
      </c>
      <c r="L221" s="57" t="str">
        <f xml:space="preserve">
IF(OR('Dados da OS'!$D$8=Parâmetros!$B$3,'Dados da OS'!$D$8=Parâmetros!$B$4),
  IF(OR(ISBLANK(D221),ISBLANK(F221)),
     IF(OR(B221="ALI",B221="AIE"),"L",IF(ISBLANK(B221),"","A")),
     IF(B221="EE",IF(F221&gt;=3,IF(D221&gt;=5,"H","A"),
     IF(F221&gt;=2,IF(D221&gt;=16,"H",IF(D221&lt;=4,"L","A")),IF(D221&lt;=15,"L","A"))),
     IF(OR(B221="SE",B221="CE"),IF(F221&gt;=4,IF(D221&gt;=6,"H","A"),IF(F221&gt;=2,IF(D221&gt;=20,"H",IF(D221&lt;=5,"L","A")),IF(D221&lt;=19,"L","A"))),
     IF(OR(B221="ALI",B221="AIE"),IF(F221&gt;=6,IF(D221&gt;=20,"H","A"),IF(F221&gt;=2,IF(D221&gt;=51,"H",IF(D221&lt;=19,"L","A")),IF(D221&lt;=50,"L","A"))))))),
IF('Dados da OS'!$D$8=Parâmetros!$B$6,"Indicativa",
IF('Dados da OS'!$D$8=Parâmetros!$B$5,"PFS","")))</f>
        <v/>
      </c>
      <c r="M221" s="57">
        <f>IFERROR(VLOOKUP(C221,'Fatores de Impacto e INMs'!$A$3:$D$32,3,0),1)</f>
        <v>1</v>
      </c>
      <c r="N221" s="57">
        <f>IFERROR(VLOOKUP(C221,'Fatores de Impacto e INMs'!$A$3:$E$32,5,0),1)</f>
        <v>1</v>
      </c>
      <c r="O221" s="63" t="str">
        <f xml:space="preserve">
IF(OR('Dados da OS'!$D$8="Selecione o tipo da contagem",ISBLANK('Dados da OS'!$D$8),B221="INM",B221="N/A",ISBLANK(B221),ISBLANK(C221),N221="VF"),"-",
   IF('Dados da OS'!$D$8=Parâmetros!$B$3,
      IF(OR(ISBLANK(D221),ISBLANK(F221)),"-",
         IF(L221="L","Baixa",IF(L221="A","Média",IF(L221="H","Alta","-")))),
      IF('Dados da OS'!$D$8=Parâmetros!$B$4,
         IF(OR(B221="ALI",B221="AIE"),"Baixa",IF(OR(B221="EE",B221="SE",B221="CE"),"Média","-")),
         IF(OR('Dados da OS'!$D$8=Parâmetros!$B$5,'Dados da OS'!$D$8=Parâmetros!$B$6),"-"))))</f>
        <v>-</v>
      </c>
      <c r="P221" s="59" t="str">
        <f xml:space="preserve">
IF(OR(ISBLANK(B221),ISBLANK(C221),B221="N/A",ISBLANK('Dados da OS'!$D$8)),"",
   IF(OR('Dados da OS'!$D$8=Parâmetros!$B$3,'Dados da OS'!$D$8=Parâmetros!$B$4),
      IF(OR(AND(B221="INM",N221&lt;&gt;"VF"),AND(N221="VF",B221&lt;&gt;"INM")),"",
        IF(AND(B221="INM",N221="VF"),IF(ISBLANK(H221),"",M221*H221),
        IF('Dados da OS'!$D$8=Parâmetros!$B$4,
           IF(OR(B221="CE",B221="EE"),4,IF(B221="SE",5,IF(B221="ALI",7,IF(B221="AIE",5,"")))),
        IF('Dados da OS'!$D$8=Parâmetros!$B$3,
           IF(OR(ISBLANK(D221),ISBLANK(F221)),"",
              IF(B221="ALI",IF(L221="L",7,IF(L221="A",10,15)),
                 IF(B221="AIE",IF(L221="L",5,IF(L221="A",7,10)),
                    IF(B221="SE",IF(L221="L",4,IF(L221="A",5,7)),
                       IF(OR(B221="EE",B221="CE"),IF(L221="L",3,IF(L221="A",4,6)),""))))))))),
   IF('Dados da OS'!$D$8=Parâmetros!$B$5,
      IF(OR(AND(B221="INM",N221&lt;&gt;"VF"),AND(N221="VF",B221&lt;&gt;"INM")),"",
         IF(B221="INM",IF(N221="VF",M221*H221,""),
            IF(B221="PE",4.6,
            IF(B221="AL",7,"")))),
   IF('Dados da OS'!$D$8=Parâmetros!$B$6,
      IF(B221="ALI",35,IF(B221="AIE",15,"")),""))
    )
)</f>
        <v/>
      </c>
      <c r="Q221" s="60" t="str">
        <f t="shared" si="25"/>
        <v/>
      </c>
      <c r="R221" s="61"/>
      <c r="S221" s="62"/>
      <c r="T221" s="80" t="s">
        <v>21</v>
      </c>
      <c r="U221" s="81"/>
      <c r="V221" s="99"/>
      <c r="W221" s="55"/>
      <c r="X221" s="55"/>
      <c r="Y221" s="56"/>
      <c r="Z221" s="55"/>
      <c r="AA221" s="56"/>
      <c r="AB221" s="55"/>
      <c r="AC221" s="57" t="str">
        <f t="shared" si="26"/>
        <v/>
      </c>
      <c r="AD221" s="57" t="str">
        <f t="shared" si="27"/>
        <v/>
      </c>
      <c r="AE221" s="57" t="str">
        <f xml:space="preserve">
IF(OR('Dados da OS'!$D$8=Parâmetros!$B$3,'Dados da OS'!$D$8=Parâmetros!$B$4),
  IF(OR(ISBLANK(X221),ISBLANK(Z221)),
     IF(OR(V221="ALI",V221="AIE"),"L",IF(ISBLANK(V221),"","A")),
     IF(V221="EE",IF(Z221&gt;=3,IF(X221&gt;=5,"H","A"),
     IF(Z221&gt;=2,IF(X221&gt;=16,"H",IF(X221&lt;=4,"L","A")),IF(X221&lt;=15,"L","A"))),
     IF(OR(V221="SE",V221="CE"),IF(Z221&gt;=4,IF(X221&gt;=6,"H","A"),IF(Z221&gt;=2,IF(X221&gt;=20,"H",IF(X221&lt;=5,"L","A")),IF(X221&lt;=19,"L","A"))),
     IF(OR(V221="ALI",V221="AIE"),IF(Z221&gt;=6,IF(X221&gt;=20,"H","A"),IF(Z221&gt;=2,IF(X221&gt;=51,"H",IF(X221&lt;=19,"L","A")),IF(X221&lt;=50,"L","A"))))))),
IF('Dados da OS'!$D$8=Parâmetros!$B$6,"Indicativa",
IF('Dados da OS'!$D$8=Parâmetros!$B$5,"PFS","")))</f>
        <v/>
      </c>
      <c r="AF221" s="57">
        <f>IFERROR(VLOOKUP(W221,'Fatores de Impacto e INMs'!$A$3:$D$32,3,0),1)</f>
        <v>1</v>
      </c>
      <c r="AG221" s="57">
        <f>IFERROR(VLOOKUP(W221,'Fatores de Impacto e INMs'!$A$3:$E$32,5,0),1)</f>
        <v>1</v>
      </c>
      <c r="AH221" s="82" t="str">
        <f xml:space="preserve">
IF(OR('Dados da OS'!$D$8="Selecione o tipo da contagem",ISBLANK('Dados da OS'!$D$8),V221="INM",V221="N/A",ISBLANK(V221),ISBLANK(W221),AG221="VF"),"-",
   IF('Dados da OS'!$D$8=Parâmetros!$B$3,
      IF(OR(ISBLANK(X221),ISBLANK(Z221)),"-",
         IF(AE221="L","Baixa",IF(AE221="A","Média",IF(AE221="H","Alta","-")))),
      IF('Dados da OS'!$D$8=Parâmetros!$B$4,
         IF(OR(V221="ALI",V221="AIE"),"Baixa",IF(OR(V221="EE",V221="SE",V221="CE"),"Média","-")),
         IF(OR('Dados da OS'!$D$8=Parâmetros!$B$5,'Dados da OS'!$D$8=Parâmetros!$B$6),"-"))))</f>
        <v>-</v>
      </c>
      <c r="AI221" s="83" t="str">
        <f xml:space="preserve">
IF(OR(ISBLANK(V221),ISBLANK(U221),ISBLANK(W221),V221="N/A",ISBLANK('Dados da OS'!$D$8)),"",
   IF(OR('Dados da OS'!$D$8=Parâmetros!$B$3,'Dados da OS'!$D$8=Parâmetros!$B$4),
      IF(OR(AND(V221="INM",AG221&lt;&gt;"VF"),AND(AG221="VF",V221&lt;&gt;"INM")),"",
        IF(AND(V221="INM",AG221="VF"),IF(ISBLANK(AB221),"",AF221*AB221),
        IF('Dados da OS'!$D$8=Parâmetros!$B$4,
           IF(OR(V221="CE",V221="EE"),4,IF(V221="SE",5,IF(V221="ALI",7,IF(V221="AIE",5,"")))),
        IF('Dados da OS'!$D$8=Parâmetros!$B$3,
           IF(OR(ISBLANK(X221),ISBLANK(Z221)),"",
              IF(V221="ALI",IF(AE221="L",7,IF(AE221="A",10,15)),
                 IF(V221="AIE",IF(AE221="L",5,IF(AE221="A",7,10)),
                    IF(V221="SE",IF(AE221="L",4,IF(AE221="A",5,7)),
                       IF(OR(V221="EE",V221="CE"),IF(AE221="L",3,IF(AE221="A",4,6)),""))))))))),
   IF('Dados da OS'!$D$8=Parâmetros!$B$5,
      IF(OR(AND(V221="INM",AG221&lt;&gt;"VF"),AND(AG221="VF",V221&lt;&gt;"INM")),"",
         IF(V221="INM",IF(AG221="VF",AF221*AB221,""),
            IF(V221="PE",4.6,
            IF(V221="AL",7,"")))),
   IF('Dados da OS'!$D$8=Parâmetros!$B$6,
      IF(V221="ALI",35,IF(V221="AIE",15,"")),""))
    )
)</f>
        <v/>
      </c>
      <c r="AJ221" s="82" t="str">
        <f t="shared" si="28"/>
        <v/>
      </c>
      <c r="AK221" s="84"/>
      <c r="AL221" s="85" t="s">
        <v>21</v>
      </c>
      <c r="AM221" s="86"/>
      <c r="AN221" s="85"/>
      <c r="AO221" s="87"/>
      <c r="AP221" s="85"/>
      <c r="AQ221" s="86"/>
      <c r="AR221" s="85"/>
    </row>
    <row r="222" spans="1:44" ht="15.75" customHeight="1">
      <c r="A222" s="54"/>
      <c r="B222" s="100"/>
      <c r="C222" s="55"/>
      <c r="D222" s="55"/>
      <c r="E222" s="56"/>
      <c r="F222" s="55"/>
      <c r="G222" s="56"/>
      <c r="H222" s="55"/>
      <c r="I222" s="64"/>
      <c r="J222" s="57" t="str">
        <f t="shared" si="23"/>
        <v/>
      </c>
      <c r="K222" s="57" t="str">
        <f t="shared" si="24"/>
        <v/>
      </c>
      <c r="L222" s="57" t="str">
        <f xml:space="preserve">
IF(OR('Dados da OS'!$D$8=Parâmetros!$B$3,'Dados da OS'!$D$8=Parâmetros!$B$4),
  IF(OR(ISBLANK(D222),ISBLANK(F222)),
     IF(OR(B222="ALI",B222="AIE"),"L",IF(ISBLANK(B222),"","A")),
     IF(B222="EE",IF(F222&gt;=3,IF(D222&gt;=5,"H","A"),
     IF(F222&gt;=2,IF(D222&gt;=16,"H",IF(D222&lt;=4,"L","A")),IF(D222&lt;=15,"L","A"))),
     IF(OR(B222="SE",B222="CE"),IF(F222&gt;=4,IF(D222&gt;=6,"H","A"),IF(F222&gt;=2,IF(D222&gt;=20,"H",IF(D222&lt;=5,"L","A")),IF(D222&lt;=19,"L","A"))),
     IF(OR(B222="ALI",B222="AIE"),IF(F222&gt;=6,IF(D222&gt;=20,"H","A"),IF(F222&gt;=2,IF(D222&gt;=51,"H",IF(D222&lt;=19,"L","A")),IF(D222&lt;=50,"L","A"))))))),
IF('Dados da OS'!$D$8=Parâmetros!$B$6,"Indicativa",
IF('Dados da OS'!$D$8=Parâmetros!$B$5,"PFS","")))</f>
        <v/>
      </c>
      <c r="M222" s="57">
        <f>IFERROR(VLOOKUP(C222,'Fatores de Impacto e INMs'!$A$3:$D$32,3,0),1)</f>
        <v>1</v>
      </c>
      <c r="N222" s="57">
        <f>IFERROR(VLOOKUP(C222,'Fatores de Impacto e INMs'!$A$3:$E$32,5,0),1)</f>
        <v>1</v>
      </c>
      <c r="O222" s="63" t="str">
        <f xml:space="preserve">
IF(OR('Dados da OS'!$D$8="Selecione o tipo da contagem",ISBLANK('Dados da OS'!$D$8),B222="INM",B222="N/A",ISBLANK(B222),ISBLANK(C222),N222="VF"),"-",
   IF('Dados da OS'!$D$8=Parâmetros!$B$3,
      IF(OR(ISBLANK(D222),ISBLANK(F222)),"-",
         IF(L222="L","Baixa",IF(L222="A","Média",IF(L222="H","Alta","-")))),
      IF('Dados da OS'!$D$8=Parâmetros!$B$4,
         IF(OR(B222="ALI",B222="AIE"),"Baixa",IF(OR(B222="EE",B222="SE",B222="CE"),"Média","-")),
         IF(OR('Dados da OS'!$D$8=Parâmetros!$B$5,'Dados da OS'!$D$8=Parâmetros!$B$6),"-"))))</f>
        <v>-</v>
      </c>
      <c r="P222" s="59" t="str">
        <f xml:space="preserve">
IF(OR(ISBLANK(B222),ISBLANK(C222),B222="N/A",ISBLANK('Dados da OS'!$D$8)),"",
   IF(OR('Dados da OS'!$D$8=Parâmetros!$B$3,'Dados da OS'!$D$8=Parâmetros!$B$4),
      IF(OR(AND(B222="INM",N222&lt;&gt;"VF"),AND(N222="VF",B222&lt;&gt;"INM")),"",
        IF(AND(B222="INM",N222="VF"),IF(ISBLANK(H222),"",M222*H222),
        IF('Dados da OS'!$D$8=Parâmetros!$B$4,
           IF(OR(B222="CE",B222="EE"),4,IF(B222="SE",5,IF(B222="ALI",7,IF(B222="AIE",5,"")))),
        IF('Dados da OS'!$D$8=Parâmetros!$B$3,
           IF(OR(ISBLANK(D222),ISBLANK(F222)),"",
              IF(B222="ALI",IF(L222="L",7,IF(L222="A",10,15)),
                 IF(B222="AIE",IF(L222="L",5,IF(L222="A",7,10)),
                    IF(B222="SE",IF(L222="L",4,IF(L222="A",5,7)),
                       IF(OR(B222="EE",B222="CE"),IF(L222="L",3,IF(L222="A",4,6)),""))))))))),
   IF('Dados da OS'!$D$8=Parâmetros!$B$5,
      IF(OR(AND(B222="INM",N222&lt;&gt;"VF"),AND(N222="VF",B222&lt;&gt;"INM")),"",
         IF(B222="INM",IF(N222="VF",M222*H222,""),
            IF(B222="PE",4.6,
            IF(B222="AL",7,"")))),
   IF('Dados da OS'!$D$8=Parâmetros!$B$6,
      IF(B222="ALI",35,IF(B222="AIE",15,"")),""))
    )
)</f>
        <v/>
      </c>
      <c r="Q222" s="60" t="str">
        <f t="shared" si="25"/>
        <v/>
      </c>
      <c r="R222" s="61"/>
      <c r="S222" s="62"/>
      <c r="T222" s="80" t="s">
        <v>21</v>
      </c>
      <c r="U222" s="81"/>
      <c r="V222" s="99"/>
      <c r="W222" s="55"/>
      <c r="X222" s="55"/>
      <c r="Y222" s="56"/>
      <c r="Z222" s="55"/>
      <c r="AA222" s="56"/>
      <c r="AB222" s="55"/>
      <c r="AC222" s="57" t="str">
        <f t="shared" si="26"/>
        <v/>
      </c>
      <c r="AD222" s="57" t="str">
        <f t="shared" si="27"/>
        <v/>
      </c>
      <c r="AE222" s="57" t="str">
        <f xml:space="preserve">
IF(OR('Dados da OS'!$D$8=Parâmetros!$B$3,'Dados da OS'!$D$8=Parâmetros!$B$4),
  IF(OR(ISBLANK(X222),ISBLANK(Z222)),
     IF(OR(V222="ALI",V222="AIE"),"L",IF(ISBLANK(V222),"","A")),
     IF(V222="EE",IF(Z222&gt;=3,IF(X222&gt;=5,"H","A"),
     IF(Z222&gt;=2,IF(X222&gt;=16,"H",IF(X222&lt;=4,"L","A")),IF(X222&lt;=15,"L","A"))),
     IF(OR(V222="SE",V222="CE"),IF(Z222&gt;=4,IF(X222&gt;=6,"H","A"),IF(Z222&gt;=2,IF(X222&gt;=20,"H",IF(X222&lt;=5,"L","A")),IF(X222&lt;=19,"L","A"))),
     IF(OR(V222="ALI",V222="AIE"),IF(Z222&gt;=6,IF(X222&gt;=20,"H","A"),IF(Z222&gt;=2,IF(X222&gt;=51,"H",IF(X222&lt;=19,"L","A")),IF(X222&lt;=50,"L","A"))))))),
IF('Dados da OS'!$D$8=Parâmetros!$B$6,"Indicativa",
IF('Dados da OS'!$D$8=Parâmetros!$B$5,"PFS","")))</f>
        <v/>
      </c>
      <c r="AF222" s="57">
        <f>IFERROR(VLOOKUP(W222,'Fatores de Impacto e INMs'!$A$3:$D$32,3,0),1)</f>
        <v>1</v>
      </c>
      <c r="AG222" s="57">
        <f>IFERROR(VLOOKUP(W222,'Fatores de Impacto e INMs'!$A$3:$E$32,5,0),1)</f>
        <v>1</v>
      </c>
      <c r="AH222" s="82" t="str">
        <f xml:space="preserve">
IF(OR('Dados da OS'!$D$8="Selecione o tipo da contagem",ISBLANK('Dados da OS'!$D$8),V222="INM",V222="N/A",ISBLANK(V222),ISBLANK(W222),AG222="VF"),"-",
   IF('Dados da OS'!$D$8=Parâmetros!$B$3,
      IF(OR(ISBLANK(X222),ISBLANK(Z222)),"-",
         IF(AE222="L","Baixa",IF(AE222="A","Média",IF(AE222="H","Alta","-")))),
      IF('Dados da OS'!$D$8=Parâmetros!$B$4,
         IF(OR(V222="ALI",V222="AIE"),"Baixa",IF(OR(V222="EE",V222="SE",V222="CE"),"Média","-")),
         IF(OR('Dados da OS'!$D$8=Parâmetros!$B$5,'Dados da OS'!$D$8=Parâmetros!$B$6),"-"))))</f>
        <v>-</v>
      </c>
      <c r="AI222" s="83" t="str">
        <f xml:space="preserve">
IF(OR(ISBLANK(V222),ISBLANK(U222),ISBLANK(W222),V222="N/A",ISBLANK('Dados da OS'!$D$8)),"",
   IF(OR('Dados da OS'!$D$8=Parâmetros!$B$3,'Dados da OS'!$D$8=Parâmetros!$B$4),
      IF(OR(AND(V222="INM",AG222&lt;&gt;"VF"),AND(AG222="VF",V222&lt;&gt;"INM")),"",
        IF(AND(V222="INM",AG222="VF"),IF(ISBLANK(AB222),"",AF222*AB222),
        IF('Dados da OS'!$D$8=Parâmetros!$B$4,
           IF(OR(V222="CE",V222="EE"),4,IF(V222="SE",5,IF(V222="ALI",7,IF(V222="AIE",5,"")))),
        IF('Dados da OS'!$D$8=Parâmetros!$B$3,
           IF(OR(ISBLANK(X222),ISBLANK(Z222)),"",
              IF(V222="ALI",IF(AE222="L",7,IF(AE222="A",10,15)),
                 IF(V222="AIE",IF(AE222="L",5,IF(AE222="A",7,10)),
                    IF(V222="SE",IF(AE222="L",4,IF(AE222="A",5,7)),
                       IF(OR(V222="EE",V222="CE"),IF(AE222="L",3,IF(AE222="A",4,6)),""))))))))),
   IF('Dados da OS'!$D$8=Parâmetros!$B$5,
      IF(OR(AND(V222="INM",AG222&lt;&gt;"VF"),AND(AG222="VF",V222&lt;&gt;"INM")),"",
         IF(V222="INM",IF(AG222="VF",AF222*AB222,""),
            IF(V222="PE",4.6,
            IF(V222="AL",7,"")))),
   IF('Dados da OS'!$D$8=Parâmetros!$B$6,
      IF(V222="ALI",35,IF(V222="AIE",15,"")),""))
    )
)</f>
        <v/>
      </c>
      <c r="AJ222" s="82" t="str">
        <f t="shared" si="28"/>
        <v/>
      </c>
      <c r="AK222" s="84"/>
      <c r="AL222" s="85" t="s">
        <v>21</v>
      </c>
      <c r="AM222" s="86"/>
      <c r="AN222" s="85"/>
      <c r="AO222" s="87"/>
      <c r="AP222" s="85"/>
      <c r="AQ222" s="86"/>
      <c r="AR222" s="85"/>
    </row>
    <row r="223" spans="1:44" ht="15.75" customHeight="1">
      <c r="A223" s="54"/>
      <c r="B223" s="100"/>
      <c r="C223" s="55"/>
      <c r="D223" s="55"/>
      <c r="E223" s="56"/>
      <c r="F223" s="55"/>
      <c r="G223" s="56"/>
      <c r="H223" s="55"/>
      <c r="I223" s="64"/>
      <c r="J223" s="57" t="str">
        <f t="shared" si="23"/>
        <v/>
      </c>
      <c r="K223" s="57" t="str">
        <f t="shared" si="24"/>
        <v/>
      </c>
      <c r="L223" s="57" t="str">
        <f xml:space="preserve">
IF(OR('Dados da OS'!$D$8=Parâmetros!$B$3,'Dados da OS'!$D$8=Parâmetros!$B$4),
  IF(OR(ISBLANK(D223),ISBLANK(F223)),
     IF(OR(B223="ALI",B223="AIE"),"L",IF(ISBLANK(B223),"","A")),
     IF(B223="EE",IF(F223&gt;=3,IF(D223&gt;=5,"H","A"),
     IF(F223&gt;=2,IF(D223&gt;=16,"H",IF(D223&lt;=4,"L","A")),IF(D223&lt;=15,"L","A"))),
     IF(OR(B223="SE",B223="CE"),IF(F223&gt;=4,IF(D223&gt;=6,"H","A"),IF(F223&gt;=2,IF(D223&gt;=20,"H",IF(D223&lt;=5,"L","A")),IF(D223&lt;=19,"L","A"))),
     IF(OR(B223="ALI",B223="AIE"),IF(F223&gt;=6,IF(D223&gt;=20,"H","A"),IF(F223&gt;=2,IF(D223&gt;=51,"H",IF(D223&lt;=19,"L","A")),IF(D223&lt;=50,"L","A"))))))),
IF('Dados da OS'!$D$8=Parâmetros!$B$6,"Indicativa",
IF('Dados da OS'!$D$8=Parâmetros!$B$5,"PFS","")))</f>
        <v/>
      </c>
      <c r="M223" s="57">
        <f>IFERROR(VLOOKUP(C223,'Fatores de Impacto e INMs'!$A$3:$D$32,3,0),1)</f>
        <v>1</v>
      </c>
      <c r="N223" s="57">
        <f>IFERROR(VLOOKUP(C223,'Fatores de Impacto e INMs'!$A$3:$E$32,5,0),1)</f>
        <v>1</v>
      </c>
      <c r="O223" s="63" t="str">
        <f xml:space="preserve">
IF(OR('Dados da OS'!$D$8="Selecione o tipo da contagem",ISBLANK('Dados da OS'!$D$8),B223="INM",B223="N/A",ISBLANK(B223),ISBLANK(C223),N223="VF"),"-",
   IF('Dados da OS'!$D$8=Parâmetros!$B$3,
      IF(OR(ISBLANK(D223),ISBLANK(F223)),"-",
         IF(L223="L","Baixa",IF(L223="A","Média",IF(L223="H","Alta","-")))),
      IF('Dados da OS'!$D$8=Parâmetros!$B$4,
         IF(OR(B223="ALI",B223="AIE"),"Baixa",IF(OR(B223="EE",B223="SE",B223="CE"),"Média","-")),
         IF(OR('Dados da OS'!$D$8=Parâmetros!$B$5,'Dados da OS'!$D$8=Parâmetros!$B$6),"-"))))</f>
        <v>-</v>
      </c>
      <c r="P223" s="59" t="str">
        <f xml:space="preserve">
IF(OR(ISBLANK(B223),ISBLANK(C223),B223="N/A",ISBLANK('Dados da OS'!$D$8)),"",
   IF(OR('Dados da OS'!$D$8=Parâmetros!$B$3,'Dados da OS'!$D$8=Parâmetros!$B$4),
      IF(OR(AND(B223="INM",N223&lt;&gt;"VF"),AND(N223="VF",B223&lt;&gt;"INM")),"",
        IF(AND(B223="INM",N223="VF"),IF(ISBLANK(H223),"",M223*H223),
        IF('Dados da OS'!$D$8=Parâmetros!$B$4,
           IF(OR(B223="CE",B223="EE"),4,IF(B223="SE",5,IF(B223="ALI",7,IF(B223="AIE",5,"")))),
        IF('Dados da OS'!$D$8=Parâmetros!$B$3,
           IF(OR(ISBLANK(D223),ISBLANK(F223)),"",
              IF(B223="ALI",IF(L223="L",7,IF(L223="A",10,15)),
                 IF(B223="AIE",IF(L223="L",5,IF(L223="A",7,10)),
                    IF(B223="SE",IF(L223="L",4,IF(L223="A",5,7)),
                       IF(OR(B223="EE",B223="CE"),IF(L223="L",3,IF(L223="A",4,6)),""))))))))),
   IF('Dados da OS'!$D$8=Parâmetros!$B$5,
      IF(OR(AND(B223="INM",N223&lt;&gt;"VF"),AND(N223="VF",B223&lt;&gt;"INM")),"",
         IF(B223="INM",IF(N223="VF",M223*H223,""),
            IF(B223="PE",4.6,
            IF(B223="AL",7,"")))),
   IF('Dados da OS'!$D$8=Parâmetros!$B$6,
      IF(B223="ALI",35,IF(B223="AIE",15,"")),""))
    )
)</f>
        <v/>
      </c>
      <c r="Q223" s="60" t="str">
        <f t="shared" si="25"/>
        <v/>
      </c>
      <c r="R223" s="61"/>
      <c r="S223" s="62"/>
      <c r="T223" s="80" t="s">
        <v>21</v>
      </c>
      <c r="U223" s="81"/>
      <c r="V223" s="99"/>
      <c r="W223" s="55"/>
      <c r="X223" s="55"/>
      <c r="Y223" s="56"/>
      <c r="Z223" s="55"/>
      <c r="AA223" s="56"/>
      <c r="AB223" s="55"/>
      <c r="AC223" s="57" t="str">
        <f t="shared" si="26"/>
        <v/>
      </c>
      <c r="AD223" s="57" t="str">
        <f t="shared" si="27"/>
        <v/>
      </c>
      <c r="AE223" s="57" t="str">
        <f xml:space="preserve">
IF(OR('Dados da OS'!$D$8=Parâmetros!$B$3,'Dados da OS'!$D$8=Parâmetros!$B$4),
  IF(OR(ISBLANK(X223),ISBLANK(Z223)),
     IF(OR(V223="ALI",V223="AIE"),"L",IF(ISBLANK(V223),"","A")),
     IF(V223="EE",IF(Z223&gt;=3,IF(X223&gt;=5,"H","A"),
     IF(Z223&gt;=2,IF(X223&gt;=16,"H",IF(X223&lt;=4,"L","A")),IF(X223&lt;=15,"L","A"))),
     IF(OR(V223="SE",V223="CE"),IF(Z223&gt;=4,IF(X223&gt;=6,"H","A"),IF(Z223&gt;=2,IF(X223&gt;=20,"H",IF(X223&lt;=5,"L","A")),IF(X223&lt;=19,"L","A"))),
     IF(OR(V223="ALI",V223="AIE"),IF(Z223&gt;=6,IF(X223&gt;=20,"H","A"),IF(Z223&gt;=2,IF(X223&gt;=51,"H",IF(X223&lt;=19,"L","A")),IF(X223&lt;=50,"L","A"))))))),
IF('Dados da OS'!$D$8=Parâmetros!$B$6,"Indicativa",
IF('Dados da OS'!$D$8=Parâmetros!$B$5,"PFS","")))</f>
        <v/>
      </c>
      <c r="AF223" s="57">
        <f>IFERROR(VLOOKUP(W223,'Fatores de Impacto e INMs'!$A$3:$D$32,3,0),1)</f>
        <v>1</v>
      </c>
      <c r="AG223" s="57">
        <f>IFERROR(VLOOKUP(W223,'Fatores de Impacto e INMs'!$A$3:$E$32,5,0),1)</f>
        <v>1</v>
      </c>
      <c r="AH223" s="82" t="str">
        <f xml:space="preserve">
IF(OR('Dados da OS'!$D$8="Selecione o tipo da contagem",ISBLANK('Dados da OS'!$D$8),V223="INM",V223="N/A",ISBLANK(V223),ISBLANK(W223),AG223="VF"),"-",
   IF('Dados da OS'!$D$8=Parâmetros!$B$3,
      IF(OR(ISBLANK(X223),ISBLANK(Z223)),"-",
         IF(AE223="L","Baixa",IF(AE223="A","Média",IF(AE223="H","Alta","-")))),
      IF('Dados da OS'!$D$8=Parâmetros!$B$4,
         IF(OR(V223="ALI",V223="AIE"),"Baixa",IF(OR(V223="EE",V223="SE",V223="CE"),"Média","-")),
         IF(OR('Dados da OS'!$D$8=Parâmetros!$B$5,'Dados da OS'!$D$8=Parâmetros!$B$6),"-"))))</f>
        <v>-</v>
      </c>
      <c r="AI223" s="83" t="str">
        <f xml:space="preserve">
IF(OR(ISBLANK(V223),ISBLANK(U223),ISBLANK(W223),V223="N/A",ISBLANK('Dados da OS'!$D$8)),"",
   IF(OR('Dados da OS'!$D$8=Parâmetros!$B$3,'Dados da OS'!$D$8=Parâmetros!$B$4),
      IF(OR(AND(V223="INM",AG223&lt;&gt;"VF"),AND(AG223="VF",V223&lt;&gt;"INM")),"",
        IF(AND(V223="INM",AG223="VF"),IF(ISBLANK(AB223),"",AF223*AB223),
        IF('Dados da OS'!$D$8=Parâmetros!$B$4,
           IF(OR(V223="CE",V223="EE"),4,IF(V223="SE",5,IF(V223="ALI",7,IF(V223="AIE",5,"")))),
        IF('Dados da OS'!$D$8=Parâmetros!$B$3,
           IF(OR(ISBLANK(X223),ISBLANK(Z223)),"",
              IF(V223="ALI",IF(AE223="L",7,IF(AE223="A",10,15)),
                 IF(V223="AIE",IF(AE223="L",5,IF(AE223="A",7,10)),
                    IF(V223="SE",IF(AE223="L",4,IF(AE223="A",5,7)),
                       IF(OR(V223="EE",V223="CE"),IF(AE223="L",3,IF(AE223="A",4,6)),""))))))))),
   IF('Dados da OS'!$D$8=Parâmetros!$B$5,
      IF(OR(AND(V223="INM",AG223&lt;&gt;"VF"),AND(AG223="VF",V223&lt;&gt;"INM")),"",
         IF(V223="INM",IF(AG223="VF",AF223*AB223,""),
            IF(V223="PE",4.6,
            IF(V223="AL",7,"")))),
   IF('Dados da OS'!$D$8=Parâmetros!$B$6,
      IF(V223="ALI",35,IF(V223="AIE",15,"")),""))
    )
)</f>
        <v/>
      </c>
      <c r="AJ223" s="82" t="str">
        <f t="shared" si="28"/>
        <v/>
      </c>
      <c r="AK223" s="84"/>
      <c r="AL223" s="85" t="s">
        <v>21</v>
      </c>
      <c r="AM223" s="86"/>
      <c r="AN223" s="85"/>
      <c r="AO223" s="87"/>
      <c r="AP223" s="85"/>
      <c r="AQ223" s="86"/>
      <c r="AR223" s="85"/>
    </row>
    <row r="224" spans="1:44" ht="15.75" customHeight="1">
      <c r="A224" s="54"/>
      <c r="B224" s="100"/>
      <c r="C224" s="55"/>
      <c r="D224" s="55"/>
      <c r="E224" s="56"/>
      <c r="F224" s="55"/>
      <c r="G224" s="56"/>
      <c r="H224" s="55"/>
      <c r="I224" s="64"/>
      <c r="J224" s="57" t="str">
        <f t="shared" si="23"/>
        <v/>
      </c>
      <c r="K224" s="57" t="str">
        <f t="shared" si="24"/>
        <v/>
      </c>
      <c r="L224" s="57" t="str">
        <f xml:space="preserve">
IF(OR('Dados da OS'!$D$8=Parâmetros!$B$3,'Dados da OS'!$D$8=Parâmetros!$B$4),
  IF(OR(ISBLANK(D224),ISBLANK(F224)),
     IF(OR(B224="ALI",B224="AIE"),"L",IF(ISBLANK(B224),"","A")),
     IF(B224="EE",IF(F224&gt;=3,IF(D224&gt;=5,"H","A"),
     IF(F224&gt;=2,IF(D224&gt;=16,"H",IF(D224&lt;=4,"L","A")),IF(D224&lt;=15,"L","A"))),
     IF(OR(B224="SE",B224="CE"),IF(F224&gt;=4,IF(D224&gt;=6,"H","A"),IF(F224&gt;=2,IF(D224&gt;=20,"H",IF(D224&lt;=5,"L","A")),IF(D224&lt;=19,"L","A"))),
     IF(OR(B224="ALI",B224="AIE"),IF(F224&gt;=6,IF(D224&gt;=20,"H","A"),IF(F224&gt;=2,IF(D224&gt;=51,"H",IF(D224&lt;=19,"L","A")),IF(D224&lt;=50,"L","A"))))))),
IF('Dados da OS'!$D$8=Parâmetros!$B$6,"Indicativa",
IF('Dados da OS'!$D$8=Parâmetros!$B$5,"PFS","")))</f>
        <v/>
      </c>
      <c r="M224" s="57">
        <f>IFERROR(VLOOKUP(C224,'Fatores de Impacto e INMs'!$A$3:$D$32,3,0),1)</f>
        <v>1</v>
      </c>
      <c r="N224" s="57">
        <f>IFERROR(VLOOKUP(C224,'Fatores de Impacto e INMs'!$A$3:$E$32,5,0),1)</f>
        <v>1</v>
      </c>
      <c r="O224" s="63" t="str">
        <f xml:space="preserve">
IF(OR('Dados da OS'!$D$8="Selecione o tipo da contagem",ISBLANK('Dados da OS'!$D$8),B224="INM",B224="N/A",ISBLANK(B224),ISBLANK(C224),N224="VF"),"-",
   IF('Dados da OS'!$D$8=Parâmetros!$B$3,
      IF(OR(ISBLANK(D224),ISBLANK(F224)),"-",
         IF(L224="L","Baixa",IF(L224="A","Média",IF(L224="H","Alta","-")))),
      IF('Dados da OS'!$D$8=Parâmetros!$B$4,
         IF(OR(B224="ALI",B224="AIE"),"Baixa",IF(OR(B224="EE",B224="SE",B224="CE"),"Média","-")),
         IF(OR('Dados da OS'!$D$8=Parâmetros!$B$5,'Dados da OS'!$D$8=Parâmetros!$B$6),"-"))))</f>
        <v>-</v>
      </c>
      <c r="P224" s="59" t="str">
        <f xml:space="preserve">
IF(OR(ISBLANK(B224),ISBLANK(C224),B224="N/A",ISBLANK('Dados da OS'!$D$8)),"",
   IF(OR('Dados da OS'!$D$8=Parâmetros!$B$3,'Dados da OS'!$D$8=Parâmetros!$B$4),
      IF(OR(AND(B224="INM",N224&lt;&gt;"VF"),AND(N224="VF",B224&lt;&gt;"INM")),"",
        IF(AND(B224="INM",N224="VF"),IF(ISBLANK(H224),"",M224*H224),
        IF('Dados da OS'!$D$8=Parâmetros!$B$4,
           IF(OR(B224="CE",B224="EE"),4,IF(B224="SE",5,IF(B224="ALI",7,IF(B224="AIE",5,"")))),
        IF('Dados da OS'!$D$8=Parâmetros!$B$3,
           IF(OR(ISBLANK(D224),ISBLANK(F224)),"",
              IF(B224="ALI",IF(L224="L",7,IF(L224="A",10,15)),
                 IF(B224="AIE",IF(L224="L",5,IF(L224="A",7,10)),
                    IF(B224="SE",IF(L224="L",4,IF(L224="A",5,7)),
                       IF(OR(B224="EE",B224="CE"),IF(L224="L",3,IF(L224="A",4,6)),""))))))))),
   IF('Dados da OS'!$D$8=Parâmetros!$B$5,
      IF(OR(AND(B224="INM",N224&lt;&gt;"VF"),AND(N224="VF",B224&lt;&gt;"INM")),"",
         IF(B224="INM",IF(N224="VF",M224*H224,""),
            IF(B224="PE",4.6,
            IF(B224="AL",7,"")))),
   IF('Dados da OS'!$D$8=Parâmetros!$B$6,
      IF(B224="ALI",35,IF(B224="AIE",15,"")),""))
    )
)</f>
        <v/>
      </c>
      <c r="Q224" s="60" t="str">
        <f t="shared" si="25"/>
        <v/>
      </c>
      <c r="R224" s="61"/>
      <c r="S224" s="62"/>
      <c r="T224" s="80" t="s">
        <v>21</v>
      </c>
      <c r="U224" s="81"/>
      <c r="V224" s="99"/>
      <c r="W224" s="55"/>
      <c r="X224" s="55"/>
      <c r="Y224" s="56"/>
      <c r="Z224" s="55"/>
      <c r="AA224" s="56"/>
      <c r="AB224" s="55"/>
      <c r="AC224" s="57" t="str">
        <f t="shared" si="26"/>
        <v/>
      </c>
      <c r="AD224" s="57" t="str">
        <f t="shared" si="27"/>
        <v/>
      </c>
      <c r="AE224" s="57" t="str">
        <f xml:space="preserve">
IF(OR('Dados da OS'!$D$8=Parâmetros!$B$3,'Dados da OS'!$D$8=Parâmetros!$B$4),
  IF(OR(ISBLANK(X224),ISBLANK(Z224)),
     IF(OR(V224="ALI",V224="AIE"),"L",IF(ISBLANK(V224),"","A")),
     IF(V224="EE",IF(Z224&gt;=3,IF(X224&gt;=5,"H","A"),
     IF(Z224&gt;=2,IF(X224&gt;=16,"H",IF(X224&lt;=4,"L","A")),IF(X224&lt;=15,"L","A"))),
     IF(OR(V224="SE",V224="CE"),IF(Z224&gt;=4,IF(X224&gt;=6,"H","A"),IF(Z224&gt;=2,IF(X224&gt;=20,"H",IF(X224&lt;=5,"L","A")),IF(X224&lt;=19,"L","A"))),
     IF(OR(V224="ALI",V224="AIE"),IF(Z224&gt;=6,IF(X224&gt;=20,"H","A"),IF(Z224&gt;=2,IF(X224&gt;=51,"H",IF(X224&lt;=19,"L","A")),IF(X224&lt;=50,"L","A"))))))),
IF('Dados da OS'!$D$8=Parâmetros!$B$6,"Indicativa",
IF('Dados da OS'!$D$8=Parâmetros!$B$5,"PFS","")))</f>
        <v/>
      </c>
      <c r="AF224" s="57">
        <f>IFERROR(VLOOKUP(W224,'Fatores de Impacto e INMs'!$A$3:$D$32,3,0),1)</f>
        <v>1</v>
      </c>
      <c r="AG224" s="57">
        <f>IFERROR(VLOOKUP(W224,'Fatores de Impacto e INMs'!$A$3:$E$32,5,0),1)</f>
        <v>1</v>
      </c>
      <c r="AH224" s="82" t="str">
        <f xml:space="preserve">
IF(OR('Dados da OS'!$D$8="Selecione o tipo da contagem",ISBLANK('Dados da OS'!$D$8),V224="INM",V224="N/A",ISBLANK(V224),ISBLANK(W224),AG224="VF"),"-",
   IF('Dados da OS'!$D$8=Parâmetros!$B$3,
      IF(OR(ISBLANK(X224),ISBLANK(Z224)),"-",
         IF(AE224="L","Baixa",IF(AE224="A","Média",IF(AE224="H","Alta","-")))),
      IF('Dados da OS'!$D$8=Parâmetros!$B$4,
         IF(OR(V224="ALI",V224="AIE"),"Baixa",IF(OR(V224="EE",V224="SE",V224="CE"),"Média","-")),
         IF(OR('Dados da OS'!$D$8=Parâmetros!$B$5,'Dados da OS'!$D$8=Parâmetros!$B$6),"-"))))</f>
        <v>-</v>
      </c>
      <c r="AI224" s="83" t="str">
        <f xml:space="preserve">
IF(OR(ISBLANK(V224),ISBLANK(U224),ISBLANK(W224),V224="N/A",ISBLANK('Dados da OS'!$D$8)),"",
   IF(OR('Dados da OS'!$D$8=Parâmetros!$B$3,'Dados da OS'!$D$8=Parâmetros!$B$4),
      IF(OR(AND(V224="INM",AG224&lt;&gt;"VF"),AND(AG224="VF",V224&lt;&gt;"INM")),"",
        IF(AND(V224="INM",AG224="VF"),IF(ISBLANK(AB224),"",AF224*AB224),
        IF('Dados da OS'!$D$8=Parâmetros!$B$4,
           IF(OR(V224="CE",V224="EE"),4,IF(V224="SE",5,IF(V224="ALI",7,IF(V224="AIE",5,"")))),
        IF('Dados da OS'!$D$8=Parâmetros!$B$3,
           IF(OR(ISBLANK(X224),ISBLANK(Z224)),"",
              IF(V224="ALI",IF(AE224="L",7,IF(AE224="A",10,15)),
                 IF(V224="AIE",IF(AE224="L",5,IF(AE224="A",7,10)),
                    IF(V224="SE",IF(AE224="L",4,IF(AE224="A",5,7)),
                       IF(OR(V224="EE",V224="CE"),IF(AE224="L",3,IF(AE224="A",4,6)),""))))))))),
   IF('Dados da OS'!$D$8=Parâmetros!$B$5,
      IF(OR(AND(V224="INM",AG224&lt;&gt;"VF"),AND(AG224="VF",V224&lt;&gt;"INM")),"",
         IF(V224="INM",IF(AG224="VF",AF224*AB224,""),
            IF(V224="PE",4.6,
            IF(V224="AL",7,"")))),
   IF('Dados da OS'!$D$8=Parâmetros!$B$6,
      IF(V224="ALI",35,IF(V224="AIE",15,"")),""))
    )
)</f>
        <v/>
      </c>
      <c r="AJ224" s="82" t="str">
        <f t="shared" si="28"/>
        <v/>
      </c>
      <c r="AK224" s="84"/>
      <c r="AL224" s="85" t="s">
        <v>21</v>
      </c>
      <c r="AM224" s="86"/>
      <c r="AN224" s="85"/>
      <c r="AO224" s="87"/>
      <c r="AP224" s="85"/>
      <c r="AQ224" s="86"/>
      <c r="AR224" s="85"/>
    </row>
    <row r="225" spans="1:44" ht="15.75" customHeight="1">
      <c r="A225" s="54"/>
      <c r="B225" s="100"/>
      <c r="C225" s="55"/>
      <c r="D225" s="55"/>
      <c r="E225" s="56"/>
      <c r="F225" s="55"/>
      <c r="G225" s="56"/>
      <c r="H225" s="55"/>
      <c r="I225" s="64"/>
      <c r="J225" s="57" t="str">
        <f t="shared" si="23"/>
        <v/>
      </c>
      <c r="K225" s="57" t="str">
        <f t="shared" si="24"/>
        <v/>
      </c>
      <c r="L225" s="57" t="str">
        <f xml:space="preserve">
IF(OR('Dados da OS'!$D$8=Parâmetros!$B$3,'Dados da OS'!$D$8=Parâmetros!$B$4),
  IF(OR(ISBLANK(D225),ISBLANK(F225)),
     IF(OR(B225="ALI",B225="AIE"),"L",IF(ISBLANK(B225),"","A")),
     IF(B225="EE",IF(F225&gt;=3,IF(D225&gt;=5,"H","A"),
     IF(F225&gt;=2,IF(D225&gt;=16,"H",IF(D225&lt;=4,"L","A")),IF(D225&lt;=15,"L","A"))),
     IF(OR(B225="SE",B225="CE"),IF(F225&gt;=4,IF(D225&gt;=6,"H","A"),IF(F225&gt;=2,IF(D225&gt;=20,"H",IF(D225&lt;=5,"L","A")),IF(D225&lt;=19,"L","A"))),
     IF(OR(B225="ALI",B225="AIE"),IF(F225&gt;=6,IF(D225&gt;=20,"H","A"),IF(F225&gt;=2,IF(D225&gt;=51,"H",IF(D225&lt;=19,"L","A")),IF(D225&lt;=50,"L","A"))))))),
IF('Dados da OS'!$D$8=Parâmetros!$B$6,"Indicativa",
IF('Dados da OS'!$D$8=Parâmetros!$B$5,"PFS","")))</f>
        <v/>
      </c>
      <c r="M225" s="57">
        <f>IFERROR(VLOOKUP(C225,'Fatores de Impacto e INMs'!$A$3:$D$32,3,0),1)</f>
        <v>1</v>
      </c>
      <c r="N225" s="57">
        <f>IFERROR(VLOOKUP(C225,'Fatores de Impacto e INMs'!$A$3:$E$32,5,0),1)</f>
        <v>1</v>
      </c>
      <c r="O225" s="63" t="str">
        <f xml:space="preserve">
IF(OR('Dados da OS'!$D$8="Selecione o tipo da contagem",ISBLANK('Dados da OS'!$D$8),B225="INM",B225="N/A",ISBLANK(B225),ISBLANK(C225),N225="VF"),"-",
   IF('Dados da OS'!$D$8=Parâmetros!$B$3,
      IF(OR(ISBLANK(D225),ISBLANK(F225)),"-",
         IF(L225="L","Baixa",IF(L225="A","Média",IF(L225="H","Alta","-")))),
      IF('Dados da OS'!$D$8=Parâmetros!$B$4,
         IF(OR(B225="ALI",B225="AIE"),"Baixa",IF(OR(B225="EE",B225="SE",B225="CE"),"Média","-")),
         IF(OR('Dados da OS'!$D$8=Parâmetros!$B$5,'Dados da OS'!$D$8=Parâmetros!$B$6),"-"))))</f>
        <v>-</v>
      </c>
      <c r="P225" s="59" t="str">
        <f xml:space="preserve">
IF(OR(ISBLANK(B225),ISBLANK(C225),B225="N/A",ISBLANK('Dados da OS'!$D$8)),"",
   IF(OR('Dados da OS'!$D$8=Parâmetros!$B$3,'Dados da OS'!$D$8=Parâmetros!$B$4),
      IF(OR(AND(B225="INM",N225&lt;&gt;"VF"),AND(N225="VF",B225&lt;&gt;"INM")),"",
        IF(AND(B225="INM",N225="VF"),IF(ISBLANK(H225),"",M225*H225),
        IF('Dados da OS'!$D$8=Parâmetros!$B$4,
           IF(OR(B225="CE",B225="EE"),4,IF(B225="SE",5,IF(B225="ALI",7,IF(B225="AIE",5,"")))),
        IF('Dados da OS'!$D$8=Parâmetros!$B$3,
           IF(OR(ISBLANK(D225),ISBLANK(F225)),"",
              IF(B225="ALI",IF(L225="L",7,IF(L225="A",10,15)),
                 IF(B225="AIE",IF(L225="L",5,IF(L225="A",7,10)),
                    IF(B225="SE",IF(L225="L",4,IF(L225="A",5,7)),
                       IF(OR(B225="EE",B225="CE"),IF(L225="L",3,IF(L225="A",4,6)),""))))))))),
   IF('Dados da OS'!$D$8=Parâmetros!$B$5,
      IF(OR(AND(B225="INM",N225&lt;&gt;"VF"),AND(N225="VF",B225&lt;&gt;"INM")),"",
         IF(B225="INM",IF(N225="VF",M225*H225,""),
            IF(B225="PE",4.6,
            IF(B225="AL",7,"")))),
   IF('Dados da OS'!$D$8=Parâmetros!$B$6,
      IF(B225="ALI",35,IF(B225="AIE",15,"")),""))
    )
)</f>
        <v/>
      </c>
      <c r="Q225" s="60" t="str">
        <f t="shared" si="25"/>
        <v/>
      </c>
      <c r="R225" s="61"/>
      <c r="S225" s="62"/>
      <c r="T225" s="80" t="s">
        <v>21</v>
      </c>
      <c r="U225" s="81"/>
      <c r="V225" s="99"/>
      <c r="W225" s="55"/>
      <c r="X225" s="55"/>
      <c r="Y225" s="56"/>
      <c r="Z225" s="55"/>
      <c r="AA225" s="56"/>
      <c r="AB225" s="55"/>
      <c r="AC225" s="57" t="str">
        <f t="shared" si="26"/>
        <v/>
      </c>
      <c r="AD225" s="57" t="str">
        <f t="shared" si="27"/>
        <v/>
      </c>
      <c r="AE225" s="57" t="str">
        <f xml:space="preserve">
IF(OR('Dados da OS'!$D$8=Parâmetros!$B$3,'Dados da OS'!$D$8=Parâmetros!$B$4),
  IF(OR(ISBLANK(X225),ISBLANK(Z225)),
     IF(OR(V225="ALI",V225="AIE"),"L",IF(ISBLANK(V225),"","A")),
     IF(V225="EE",IF(Z225&gt;=3,IF(X225&gt;=5,"H","A"),
     IF(Z225&gt;=2,IF(X225&gt;=16,"H",IF(X225&lt;=4,"L","A")),IF(X225&lt;=15,"L","A"))),
     IF(OR(V225="SE",V225="CE"),IF(Z225&gt;=4,IF(X225&gt;=6,"H","A"),IF(Z225&gt;=2,IF(X225&gt;=20,"H",IF(X225&lt;=5,"L","A")),IF(X225&lt;=19,"L","A"))),
     IF(OR(V225="ALI",V225="AIE"),IF(Z225&gt;=6,IF(X225&gt;=20,"H","A"),IF(Z225&gt;=2,IF(X225&gt;=51,"H",IF(X225&lt;=19,"L","A")),IF(X225&lt;=50,"L","A"))))))),
IF('Dados da OS'!$D$8=Parâmetros!$B$6,"Indicativa",
IF('Dados da OS'!$D$8=Parâmetros!$B$5,"PFS","")))</f>
        <v/>
      </c>
      <c r="AF225" s="57">
        <f>IFERROR(VLOOKUP(W225,'Fatores de Impacto e INMs'!$A$3:$D$32,3,0),1)</f>
        <v>1</v>
      </c>
      <c r="AG225" s="57">
        <f>IFERROR(VLOOKUP(W225,'Fatores de Impacto e INMs'!$A$3:$E$32,5,0),1)</f>
        <v>1</v>
      </c>
      <c r="AH225" s="82" t="str">
        <f xml:space="preserve">
IF(OR('Dados da OS'!$D$8="Selecione o tipo da contagem",ISBLANK('Dados da OS'!$D$8),V225="INM",V225="N/A",ISBLANK(V225),ISBLANK(W225),AG225="VF"),"-",
   IF('Dados da OS'!$D$8=Parâmetros!$B$3,
      IF(OR(ISBLANK(X225),ISBLANK(Z225)),"-",
         IF(AE225="L","Baixa",IF(AE225="A","Média",IF(AE225="H","Alta","-")))),
      IF('Dados da OS'!$D$8=Parâmetros!$B$4,
         IF(OR(V225="ALI",V225="AIE"),"Baixa",IF(OR(V225="EE",V225="SE",V225="CE"),"Média","-")),
         IF(OR('Dados da OS'!$D$8=Parâmetros!$B$5,'Dados da OS'!$D$8=Parâmetros!$B$6),"-"))))</f>
        <v>-</v>
      </c>
      <c r="AI225" s="83" t="str">
        <f xml:space="preserve">
IF(OR(ISBLANK(V225),ISBLANK(U225),ISBLANK(W225),V225="N/A",ISBLANK('Dados da OS'!$D$8)),"",
   IF(OR('Dados da OS'!$D$8=Parâmetros!$B$3,'Dados da OS'!$D$8=Parâmetros!$B$4),
      IF(OR(AND(V225="INM",AG225&lt;&gt;"VF"),AND(AG225="VF",V225&lt;&gt;"INM")),"",
        IF(AND(V225="INM",AG225="VF"),IF(ISBLANK(AB225),"",AF225*AB225),
        IF('Dados da OS'!$D$8=Parâmetros!$B$4,
           IF(OR(V225="CE",V225="EE"),4,IF(V225="SE",5,IF(V225="ALI",7,IF(V225="AIE",5,"")))),
        IF('Dados da OS'!$D$8=Parâmetros!$B$3,
           IF(OR(ISBLANK(X225),ISBLANK(Z225)),"",
              IF(V225="ALI",IF(AE225="L",7,IF(AE225="A",10,15)),
                 IF(V225="AIE",IF(AE225="L",5,IF(AE225="A",7,10)),
                    IF(V225="SE",IF(AE225="L",4,IF(AE225="A",5,7)),
                       IF(OR(V225="EE",V225="CE"),IF(AE225="L",3,IF(AE225="A",4,6)),""))))))))),
   IF('Dados da OS'!$D$8=Parâmetros!$B$5,
      IF(OR(AND(V225="INM",AG225&lt;&gt;"VF"),AND(AG225="VF",V225&lt;&gt;"INM")),"",
         IF(V225="INM",IF(AG225="VF",AF225*AB225,""),
            IF(V225="PE",4.6,
            IF(V225="AL",7,"")))),
   IF('Dados da OS'!$D$8=Parâmetros!$B$6,
      IF(V225="ALI",35,IF(V225="AIE",15,"")),""))
    )
)</f>
        <v/>
      </c>
      <c r="AJ225" s="82" t="str">
        <f t="shared" si="28"/>
        <v/>
      </c>
      <c r="AK225" s="84"/>
      <c r="AL225" s="85" t="s">
        <v>21</v>
      </c>
      <c r="AM225" s="86"/>
      <c r="AN225" s="85"/>
      <c r="AO225" s="87"/>
      <c r="AP225" s="85"/>
      <c r="AQ225" s="86"/>
      <c r="AR225" s="85"/>
    </row>
    <row r="226" spans="1:44" ht="15.75" customHeight="1">
      <c r="A226" s="54"/>
      <c r="B226" s="100"/>
      <c r="C226" s="55"/>
      <c r="D226" s="55"/>
      <c r="E226" s="56"/>
      <c r="F226" s="55"/>
      <c r="G226" s="56"/>
      <c r="H226" s="55"/>
      <c r="I226" s="64"/>
      <c r="J226" s="57" t="str">
        <f t="shared" si="23"/>
        <v/>
      </c>
      <c r="K226" s="57" t="str">
        <f t="shared" si="24"/>
        <v/>
      </c>
      <c r="L226" s="57" t="str">
        <f xml:space="preserve">
IF(OR('Dados da OS'!$D$8=Parâmetros!$B$3,'Dados da OS'!$D$8=Parâmetros!$B$4),
  IF(OR(ISBLANK(D226),ISBLANK(F226)),
     IF(OR(B226="ALI",B226="AIE"),"L",IF(ISBLANK(B226),"","A")),
     IF(B226="EE",IF(F226&gt;=3,IF(D226&gt;=5,"H","A"),
     IF(F226&gt;=2,IF(D226&gt;=16,"H",IF(D226&lt;=4,"L","A")),IF(D226&lt;=15,"L","A"))),
     IF(OR(B226="SE",B226="CE"),IF(F226&gt;=4,IF(D226&gt;=6,"H","A"),IF(F226&gt;=2,IF(D226&gt;=20,"H",IF(D226&lt;=5,"L","A")),IF(D226&lt;=19,"L","A"))),
     IF(OR(B226="ALI",B226="AIE"),IF(F226&gt;=6,IF(D226&gt;=20,"H","A"),IF(F226&gt;=2,IF(D226&gt;=51,"H",IF(D226&lt;=19,"L","A")),IF(D226&lt;=50,"L","A"))))))),
IF('Dados da OS'!$D$8=Parâmetros!$B$6,"Indicativa",
IF('Dados da OS'!$D$8=Parâmetros!$B$5,"PFS","")))</f>
        <v/>
      </c>
      <c r="M226" s="57">
        <f>IFERROR(VLOOKUP(C226,'Fatores de Impacto e INMs'!$A$3:$D$32,3,0),1)</f>
        <v>1</v>
      </c>
      <c r="N226" s="57">
        <f>IFERROR(VLOOKUP(C226,'Fatores de Impacto e INMs'!$A$3:$E$32,5,0),1)</f>
        <v>1</v>
      </c>
      <c r="O226" s="63" t="str">
        <f xml:space="preserve">
IF(OR('Dados da OS'!$D$8="Selecione o tipo da contagem",ISBLANK('Dados da OS'!$D$8),B226="INM",B226="N/A",ISBLANK(B226),ISBLANK(C226),N226="VF"),"-",
   IF('Dados da OS'!$D$8=Parâmetros!$B$3,
      IF(OR(ISBLANK(D226),ISBLANK(F226)),"-",
         IF(L226="L","Baixa",IF(L226="A","Média",IF(L226="H","Alta","-")))),
      IF('Dados da OS'!$D$8=Parâmetros!$B$4,
         IF(OR(B226="ALI",B226="AIE"),"Baixa",IF(OR(B226="EE",B226="SE",B226="CE"),"Média","-")),
         IF(OR('Dados da OS'!$D$8=Parâmetros!$B$5,'Dados da OS'!$D$8=Parâmetros!$B$6),"-"))))</f>
        <v>-</v>
      </c>
      <c r="P226" s="59" t="str">
        <f xml:space="preserve">
IF(OR(ISBLANK(B226),ISBLANK(C226),B226="N/A",ISBLANK('Dados da OS'!$D$8)),"",
   IF(OR('Dados da OS'!$D$8=Parâmetros!$B$3,'Dados da OS'!$D$8=Parâmetros!$B$4),
      IF(OR(AND(B226="INM",N226&lt;&gt;"VF"),AND(N226="VF",B226&lt;&gt;"INM")),"",
        IF(AND(B226="INM",N226="VF"),IF(ISBLANK(H226),"",M226*H226),
        IF('Dados da OS'!$D$8=Parâmetros!$B$4,
           IF(OR(B226="CE",B226="EE"),4,IF(B226="SE",5,IF(B226="ALI",7,IF(B226="AIE",5,"")))),
        IF('Dados da OS'!$D$8=Parâmetros!$B$3,
           IF(OR(ISBLANK(D226),ISBLANK(F226)),"",
              IF(B226="ALI",IF(L226="L",7,IF(L226="A",10,15)),
                 IF(B226="AIE",IF(L226="L",5,IF(L226="A",7,10)),
                    IF(B226="SE",IF(L226="L",4,IF(L226="A",5,7)),
                       IF(OR(B226="EE",B226="CE"),IF(L226="L",3,IF(L226="A",4,6)),""))))))))),
   IF('Dados da OS'!$D$8=Parâmetros!$B$5,
      IF(OR(AND(B226="INM",N226&lt;&gt;"VF"),AND(N226="VF",B226&lt;&gt;"INM")),"",
         IF(B226="INM",IF(N226="VF",M226*H226,""),
            IF(B226="PE",4.6,
            IF(B226="AL",7,"")))),
   IF('Dados da OS'!$D$8=Parâmetros!$B$6,
      IF(B226="ALI",35,IF(B226="AIE",15,"")),""))
    )
)</f>
        <v/>
      </c>
      <c r="Q226" s="60" t="str">
        <f t="shared" si="25"/>
        <v/>
      </c>
      <c r="R226" s="61"/>
      <c r="S226" s="62"/>
      <c r="T226" s="80" t="s">
        <v>21</v>
      </c>
      <c r="U226" s="81"/>
      <c r="V226" s="99"/>
      <c r="W226" s="55"/>
      <c r="X226" s="55"/>
      <c r="Y226" s="56"/>
      <c r="Z226" s="55"/>
      <c r="AA226" s="56"/>
      <c r="AB226" s="55"/>
      <c r="AC226" s="57" t="str">
        <f t="shared" si="26"/>
        <v/>
      </c>
      <c r="AD226" s="57" t="str">
        <f t="shared" si="27"/>
        <v/>
      </c>
      <c r="AE226" s="57" t="str">
        <f xml:space="preserve">
IF(OR('Dados da OS'!$D$8=Parâmetros!$B$3,'Dados da OS'!$D$8=Parâmetros!$B$4),
  IF(OR(ISBLANK(X226),ISBLANK(Z226)),
     IF(OR(V226="ALI",V226="AIE"),"L",IF(ISBLANK(V226),"","A")),
     IF(V226="EE",IF(Z226&gt;=3,IF(X226&gt;=5,"H","A"),
     IF(Z226&gt;=2,IF(X226&gt;=16,"H",IF(X226&lt;=4,"L","A")),IF(X226&lt;=15,"L","A"))),
     IF(OR(V226="SE",V226="CE"),IF(Z226&gt;=4,IF(X226&gt;=6,"H","A"),IF(Z226&gt;=2,IF(X226&gt;=20,"H",IF(X226&lt;=5,"L","A")),IF(X226&lt;=19,"L","A"))),
     IF(OR(V226="ALI",V226="AIE"),IF(Z226&gt;=6,IF(X226&gt;=20,"H","A"),IF(Z226&gt;=2,IF(X226&gt;=51,"H",IF(X226&lt;=19,"L","A")),IF(X226&lt;=50,"L","A"))))))),
IF('Dados da OS'!$D$8=Parâmetros!$B$6,"Indicativa",
IF('Dados da OS'!$D$8=Parâmetros!$B$5,"PFS","")))</f>
        <v/>
      </c>
      <c r="AF226" s="57">
        <f>IFERROR(VLOOKUP(W226,'Fatores de Impacto e INMs'!$A$3:$D$32,3,0),1)</f>
        <v>1</v>
      </c>
      <c r="AG226" s="57">
        <f>IFERROR(VLOOKUP(W226,'Fatores de Impacto e INMs'!$A$3:$E$32,5,0),1)</f>
        <v>1</v>
      </c>
      <c r="AH226" s="82" t="str">
        <f xml:space="preserve">
IF(OR('Dados da OS'!$D$8="Selecione o tipo da contagem",ISBLANK('Dados da OS'!$D$8),V226="INM",V226="N/A",ISBLANK(V226),ISBLANK(W226),AG226="VF"),"-",
   IF('Dados da OS'!$D$8=Parâmetros!$B$3,
      IF(OR(ISBLANK(X226),ISBLANK(Z226)),"-",
         IF(AE226="L","Baixa",IF(AE226="A","Média",IF(AE226="H","Alta","-")))),
      IF('Dados da OS'!$D$8=Parâmetros!$B$4,
         IF(OR(V226="ALI",V226="AIE"),"Baixa",IF(OR(V226="EE",V226="SE",V226="CE"),"Média","-")),
         IF(OR('Dados da OS'!$D$8=Parâmetros!$B$5,'Dados da OS'!$D$8=Parâmetros!$B$6),"-"))))</f>
        <v>-</v>
      </c>
      <c r="AI226" s="83" t="str">
        <f xml:space="preserve">
IF(OR(ISBLANK(V226),ISBLANK(U226),ISBLANK(W226),V226="N/A",ISBLANK('Dados da OS'!$D$8)),"",
   IF(OR('Dados da OS'!$D$8=Parâmetros!$B$3,'Dados da OS'!$D$8=Parâmetros!$B$4),
      IF(OR(AND(V226="INM",AG226&lt;&gt;"VF"),AND(AG226="VF",V226&lt;&gt;"INM")),"",
        IF(AND(V226="INM",AG226="VF"),IF(ISBLANK(AB226),"",AF226*AB226),
        IF('Dados da OS'!$D$8=Parâmetros!$B$4,
           IF(OR(V226="CE",V226="EE"),4,IF(V226="SE",5,IF(V226="ALI",7,IF(V226="AIE",5,"")))),
        IF('Dados da OS'!$D$8=Parâmetros!$B$3,
           IF(OR(ISBLANK(X226),ISBLANK(Z226)),"",
              IF(V226="ALI",IF(AE226="L",7,IF(AE226="A",10,15)),
                 IF(V226="AIE",IF(AE226="L",5,IF(AE226="A",7,10)),
                    IF(V226="SE",IF(AE226="L",4,IF(AE226="A",5,7)),
                       IF(OR(V226="EE",V226="CE"),IF(AE226="L",3,IF(AE226="A",4,6)),""))))))))),
   IF('Dados da OS'!$D$8=Parâmetros!$B$5,
      IF(OR(AND(V226="INM",AG226&lt;&gt;"VF"),AND(AG226="VF",V226&lt;&gt;"INM")),"",
         IF(V226="INM",IF(AG226="VF",AF226*AB226,""),
            IF(V226="PE",4.6,
            IF(V226="AL",7,"")))),
   IF('Dados da OS'!$D$8=Parâmetros!$B$6,
      IF(V226="ALI",35,IF(V226="AIE",15,"")),""))
    )
)</f>
        <v/>
      </c>
      <c r="AJ226" s="82" t="str">
        <f t="shared" si="28"/>
        <v/>
      </c>
      <c r="AK226" s="84"/>
      <c r="AL226" s="85" t="s">
        <v>21</v>
      </c>
      <c r="AM226" s="86"/>
      <c r="AN226" s="85"/>
      <c r="AO226" s="87"/>
      <c r="AP226" s="85"/>
      <c r="AQ226" s="86"/>
      <c r="AR226" s="85"/>
    </row>
    <row r="227" spans="1:44" ht="15.75" customHeight="1">
      <c r="A227" s="54"/>
      <c r="B227" s="100"/>
      <c r="C227" s="55"/>
      <c r="D227" s="55"/>
      <c r="E227" s="56"/>
      <c r="F227" s="55"/>
      <c r="G227" s="56"/>
      <c r="H227" s="55"/>
      <c r="I227" s="64"/>
      <c r="J227" s="57" t="str">
        <f t="shared" si="23"/>
        <v/>
      </c>
      <c r="K227" s="57" t="str">
        <f t="shared" si="24"/>
        <v/>
      </c>
      <c r="L227" s="57" t="str">
        <f xml:space="preserve">
IF(OR('Dados da OS'!$D$8=Parâmetros!$B$3,'Dados da OS'!$D$8=Parâmetros!$B$4),
  IF(OR(ISBLANK(D227),ISBLANK(F227)),
     IF(OR(B227="ALI",B227="AIE"),"L",IF(ISBLANK(B227),"","A")),
     IF(B227="EE",IF(F227&gt;=3,IF(D227&gt;=5,"H","A"),
     IF(F227&gt;=2,IF(D227&gt;=16,"H",IF(D227&lt;=4,"L","A")),IF(D227&lt;=15,"L","A"))),
     IF(OR(B227="SE",B227="CE"),IF(F227&gt;=4,IF(D227&gt;=6,"H","A"),IF(F227&gt;=2,IF(D227&gt;=20,"H",IF(D227&lt;=5,"L","A")),IF(D227&lt;=19,"L","A"))),
     IF(OR(B227="ALI",B227="AIE"),IF(F227&gt;=6,IF(D227&gt;=20,"H","A"),IF(F227&gt;=2,IF(D227&gt;=51,"H",IF(D227&lt;=19,"L","A")),IF(D227&lt;=50,"L","A"))))))),
IF('Dados da OS'!$D$8=Parâmetros!$B$6,"Indicativa",
IF('Dados da OS'!$D$8=Parâmetros!$B$5,"PFS","")))</f>
        <v/>
      </c>
      <c r="M227" s="57">
        <f>IFERROR(VLOOKUP(C227,'Fatores de Impacto e INMs'!$A$3:$D$32,3,0),1)</f>
        <v>1</v>
      </c>
      <c r="N227" s="57">
        <f>IFERROR(VLOOKUP(C227,'Fatores de Impacto e INMs'!$A$3:$E$32,5,0),1)</f>
        <v>1</v>
      </c>
      <c r="O227" s="63" t="str">
        <f xml:space="preserve">
IF(OR('Dados da OS'!$D$8="Selecione o tipo da contagem",ISBLANK('Dados da OS'!$D$8),B227="INM",B227="N/A",ISBLANK(B227),ISBLANK(C227),N227="VF"),"-",
   IF('Dados da OS'!$D$8=Parâmetros!$B$3,
      IF(OR(ISBLANK(D227),ISBLANK(F227)),"-",
         IF(L227="L","Baixa",IF(L227="A","Média",IF(L227="H","Alta","-")))),
      IF('Dados da OS'!$D$8=Parâmetros!$B$4,
         IF(OR(B227="ALI",B227="AIE"),"Baixa",IF(OR(B227="EE",B227="SE",B227="CE"),"Média","-")),
         IF(OR('Dados da OS'!$D$8=Parâmetros!$B$5,'Dados da OS'!$D$8=Parâmetros!$B$6),"-"))))</f>
        <v>-</v>
      </c>
      <c r="P227" s="59" t="str">
        <f xml:space="preserve">
IF(OR(ISBLANK(B227),ISBLANK(C227),B227="N/A",ISBLANK('Dados da OS'!$D$8)),"",
   IF(OR('Dados da OS'!$D$8=Parâmetros!$B$3,'Dados da OS'!$D$8=Parâmetros!$B$4),
      IF(OR(AND(B227="INM",N227&lt;&gt;"VF"),AND(N227="VF",B227&lt;&gt;"INM")),"",
        IF(AND(B227="INM",N227="VF"),IF(ISBLANK(H227),"",M227*H227),
        IF('Dados da OS'!$D$8=Parâmetros!$B$4,
           IF(OR(B227="CE",B227="EE"),4,IF(B227="SE",5,IF(B227="ALI",7,IF(B227="AIE",5,"")))),
        IF('Dados da OS'!$D$8=Parâmetros!$B$3,
           IF(OR(ISBLANK(D227),ISBLANK(F227)),"",
              IF(B227="ALI",IF(L227="L",7,IF(L227="A",10,15)),
                 IF(B227="AIE",IF(L227="L",5,IF(L227="A",7,10)),
                    IF(B227="SE",IF(L227="L",4,IF(L227="A",5,7)),
                       IF(OR(B227="EE",B227="CE"),IF(L227="L",3,IF(L227="A",4,6)),""))))))))),
   IF('Dados da OS'!$D$8=Parâmetros!$B$5,
      IF(OR(AND(B227="INM",N227&lt;&gt;"VF"),AND(N227="VF",B227&lt;&gt;"INM")),"",
         IF(B227="INM",IF(N227="VF",M227*H227,""),
            IF(B227="PE",4.6,
            IF(B227="AL",7,"")))),
   IF('Dados da OS'!$D$8=Parâmetros!$B$6,
      IF(B227="ALI",35,IF(B227="AIE",15,"")),""))
    )
)</f>
        <v/>
      </c>
      <c r="Q227" s="60" t="str">
        <f t="shared" si="25"/>
        <v/>
      </c>
      <c r="R227" s="61"/>
      <c r="S227" s="62"/>
      <c r="T227" s="80" t="s">
        <v>21</v>
      </c>
      <c r="U227" s="81"/>
      <c r="V227" s="99"/>
      <c r="W227" s="55"/>
      <c r="X227" s="55"/>
      <c r="Y227" s="56"/>
      <c r="Z227" s="55"/>
      <c r="AA227" s="56"/>
      <c r="AB227" s="55"/>
      <c r="AC227" s="57" t="str">
        <f t="shared" si="26"/>
        <v/>
      </c>
      <c r="AD227" s="57" t="str">
        <f t="shared" si="27"/>
        <v/>
      </c>
      <c r="AE227" s="57" t="str">
        <f xml:space="preserve">
IF(OR('Dados da OS'!$D$8=Parâmetros!$B$3,'Dados da OS'!$D$8=Parâmetros!$B$4),
  IF(OR(ISBLANK(X227),ISBLANK(Z227)),
     IF(OR(V227="ALI",V227="AIE"),"L",IF(ISBLANK(V227),"","A")),
     IF(V227="EE",IF(Z227&gt;=3,IF(X227&gt;=5,"H","A"),
     IF(Z227&gt;=2,IF(X227&gt;=16,"H",IF(X227&lt;=4,"L","A")),IF(X227&lt;=15,"L","A"))),
     IF(OR(V227="SE",V227="CE"),IF(Z227&gt;=4,IF(X227&gt;=6,"H","A"),IF(Z227&gt;=2,IF(X227&gt;=20,"H",IF(X227&lt;=5,"L","A")),IF(X227&lt;=19,"L","A"))),
     IF(OR(V227="ALI",V227="AIE"),IF(Z227&gt;=6,IF(X227&gt;=20,"H","A"),IF(Z227&gt;=2,IF(X227&gt;=51,"H",IF(X227&lt;=19,"L","A")),IF(X227&lt;=50,"L","A"))))))),
IF('Dados da OS'!$D$8=Parâmetros!$B$6,"Indicativa",
IF('Dados da OS'!$D$8=Parâmetros!$B$5,"PFS","")))</f>
        <v/>
      </c>
      <c r="AF227" s="57">
        <f>IFERROR(VLOOKUP(W227,'Fatores de Impacto e INMs'!$A$3:$D$32,3,0),1)</f>
        <v>1</v>
      </c>
      <c r="AG227" s="57">
        <f>IFERROR(VLOOKUP(W227,'Fatores de Impacto e INMs'!$A$3:$E$32,5,0),1)</f>
        <v>1</v>
      </c>
      <c r="AH227" s="82" t="str">
        <f xml:space="preserve">
IF(OR('Dados da OS'!$D$8="Selecione o tipo da contagem",ISBLANK('Dados da OS'!$D$8),V227="INM",V227="N/A",ISBLANK(V227),ISBLANK(W227),AG227="VF"),"-",
   IF('Dados da OS'!$D$8=Parâmetros!$B$3,
      IF(OR(ISBLANK(X227),ISBLANK(Z227)),"-",
         IF(AE227="L","Baixa",IF(AE227="A","Média",IF(AE227="H","Alta","-")))),
      IF('Dados da OS'!$D$8=Parâmetros!$B$4,
         IF(OR(V227="ALI",V227="AIE"),"Baixa",IF(OR(V227="EE",V227="SE",V227="CE"),"Média","-")),
         IF(OR('Dados da OS'!$D$8=Parâmetros!$B$5,'Dados da OS'!$D$8=Parâmetros!$B$6),"-"))))</f>
        <v>-</v>
      </c>
      <c r="AI227" s="83" t="str">
        <f xml:space="preserve">
IF(OR(ISBLANK(V227),ISBLANK(U227),ISBLANK(W227),V227="N/A",ISBLANK('Dados da OS'!$D$8)),"",
   IF(OR('Dados da OS'!$D$8=Parâmetros!$B$3,'Dados da OS'!$D$8=Parâmetros!$B$4),
      IF(OR(AND(V227="INM",AG227&lt;&gt;"VF"),AND(AG227="VF",V227&lt;&gt;"INM")),"",
        IF(AND(V227="INM",AG227="VF"),IF(ISBLANK(AB227),"",AF227*AB227),
        IF('Dados da OS'!$D$8=Parâmetros!$B$4,
           IF(OR(V227="CE",V227="EE"),4,IF(V227="SE",5,IF(V227="ALI",7,IF(V227="AIE",5,"")))),
        IF('Dados da OS'!$D$8=Parâmetros!$B$3,
           IF(OR(ISBLANK(X227),ISBLANK(Z227)),"",
              IF(V227="ALI",IF(AE227="L",7,IF(AE227="A",10,15)),
                 IF(V227="AIE",IF(AE227="L",5,IF(AE227="A",7,10)),
                    IF(V227="SE",IF(AE227="L",4,IF(AE227="A",5,7)),
                       IF(OR(V227="EE",V227="CE"),IF(AE227="L",3,IF(AE227="A",4,6)),""))))))))),
   IF('Dados da OS'!$D$8=Parâmetros!$B$5,
      IF(OR(AND(V227="INM",AG227&lt;&gt;"VF"),AND(AG227="VF",V227&lt;&gt;"INM")),"",
         IF(V227="INM",IF(AG227="VF",AF227*AB227,""),
            IF(V227="PE",4.6,
            IF(V227="AL",7,"")))),
   IF('Dados da OS'!$D$8=Parâmetros!$B$6,
      IF(V227="ALI",35,IF(V227="AIE",15,"")),""))
    )
)</f>
        <v/>
      </c>
      <c r="AJ227" s="82" t="str">
        <f t="shared" si="28"/>
        <v/>
      </c>
      <c r="AK227" s="84"/>
      <c r="AL227" s="85" t="s">
        <v>21</v>
      </c>
      <c r="AM227" s="86"/>
      <c r="AN227" s="85"/>
      <c r="AO227" s="87"/>
      <c r="AP227" s="85"/>
      <c r="AQ227" s="86"/>
      <c r="AR227" s="85"/>
    </row>
    <row r="228" spans="1:44" ht="15.75" customHeight="1">
      <c r="A228" s="54"/>
      <c r="B228" s="100"/>
      <c r="C228" s="55"/>
      <c r="D228" s="55"/>
      <c r="E228" s="56"/>
      <c r="F228" s="55"/>
      <c r="G228" s="56"/>
      <c r="H228" s="55"/>
      <c r="I228" s="64"/>
      <c r="J228" s="57" t="str">
        <f t="shared" si="23"/>
        <v/>
      </c>
      <c r="K228" s="57" t="str">
        <f t="shared" si="24"/>
        <v/>
      </c>
      <c r="L228" s="57" t="str">
        <f xml:space="preserve">
IF(OR('Dados da OS'!$D$8=Parâmetros!$B$3,'Dados da OS'!$D$8=Parâmetros!$B$4),
  IF(OR(ISBLANK(D228),ISBLANK(F228)),
     IF(OR(B228="ALI",B228="AIE"),"L",IF(ISBLANK(B228),"","A")),
     IF(B228="EE",IF(F228&gt;=3,IF(D228&gt;=5,"H","A"),
     IF(F228&gt;=2,IF(D228&gt;=16,"H",IF(D228&lt;=4,"L","A")),IF(D228&lt;=15,"L","A"))),
     IF(OR(B228="SE",B228="CE"),IF(F228&gt;=4,IF(D228&gt;=6,"H","A"),IF(F228&gt;=2,IF(D228&gt;=20,"H",IF(D228&lt;=5,"L","A")),IF(D228&lt;=19,"L","A"))),
     IF(OR(B228="ALI",B228="AIE"),IF(F228&gt;=6,IF(D228&gt;=20,"H","A"),IF(F228&gt;=2,IF(D228&gt;=51,"H",IF(D228&lt;=19,"L","A")),IF(D228&lt;=50,"L","A"))))))),
IF('Dados da OS'!$D$8=Parâmetros!$B$6,"Indicativa",
IF('Dados da OS'!$D$8=Parâmetros!$B$5,"PFS","")))</f>
        <v/>
      </c>
      <c r="M228" s="57">
        <f>IFERROR(VLOOKUP(C228,'Fatores de Impacto e INMs'!$A$3:$D$32,3,0),1)</f>
        <v>1</v>
      </c>
      <c r="N228" s="57">
        <f>IFERROR(VLOOKUP(C228,'Fatores de Impacto e INMs'!$A$3:$E$32,5,0),1)</f>
        <v>1</v>
      </c>
      <c r="O228" s="63" t="str">
        <f xml:space="preserve">
IF(OR('Dados da OS'!$D$8="Selecione o tipo da contagem",ISBLANK('Dados da OS'!$D$8),B228="INM",B228="N/A",ISBLANK(B228),ISBLANK(C228),N228="VF"),"-",
   IF('Dados da OS'!$D$8=Parâmetros!$B$3,
      IF(OR(ISBLANK(D228),ISBLANK(F228)),"-",
         IF(L228="L","Baixa",IF(L228="A","Média",IF(L228="H","Alta","-")))),
      IF('Dados da OS'!$D$8=Parâmetros!$B$4,
         IF(OR(B228="ALI",B228="AIE"),"Baixa",IF(OR(B228="EE",B228="SE",B228="CE"),"Média","-")),
         IF(OR('Dados da OS'!$D$8=Parâmetros!$B$5,'Dados da OS'!$D$8=Parâmetros!$B$6),"-"))))</f>
        <v>-</v>
      </c>
      <c r="P228" s="59" t="str">
        <f xml:space="preserve">
IF(OR(ISBLANK(B228),ISBLANK(C228),B228="N/A",ISBLANK('Dados da OS'!$D$8)),"",
   IF(OR('Dados da OS'!$D$8=Parâmetros!$B$3,'Dados da OS'!$D$8=Parâmetros!$B$4),
      IF(OR(AND(B228="INM",N228&lt;&gt;"VF"),AND(N228="VF",B228&lt;&gt;"INM")),"",
        IF(AND(B228="INM",N228="VF"),IF(ISBLANK(H228),"",M228*H228),
        IF('Dados da OS'!$D$8=Parâmetros!$B$4,
           IF(OR(B228="CE",B228="EE"),4,IF(B228="SE",5,IF(B228="ALI",7,IF(B228="AIE",5,"")))),
        IF('Dados da OS'!$D$8=Parâmetros!$B$3,
           IF(OR(ISBLANK(D228),ISBLANK(F228)),"",
              IF(B228="ALI",IF(L228="L",7,IF(L228="A",10,15)),
                 IF(B228="AIE",IF(L228="L",5,IF(L228="A",7,10)),
                    IF(B228="SE",IF(L228="L",4,IF(L228="A",5,7)),
                       IF(OR(B228="EE",B228="CE"),IF(L228="L",3,IF(L228="A",4,6)),""))))))))),
   IF('Dados da OS'!$D$8=Parâmetros!$B$5,
      IF(OR(AND(B228="INM",N228&lt;&gt;"VF"),AND(N228="VF",B228&lt;&gt;"INM")),"",
         IF(B228="INM",IF(N228="VF",M228*H228,""),
            IF(B228="PE",4.6,
            IF(B228="AL",7,"")))),
   IF('Dados da OS'!$D$8=Parâmetros!$B$6,
      IF(B228="ALI",35,IF(B228="AIE",15,"")),""))
    )
)</f>
        <v/>
      </c>
      <c r="Q228" s="60" t="str">
        <f t="shared" si="25"/>
        <v/>
      </c>
      <c r="R228" s="61"/>
      <c r="S228" s="62"/>
      <c r="T228" s="80" t="s">
        <v>21</v>
      </c>
      <c r="U228" s="81"/>
      <c r="V228" s="99"/>
      <c r="W228" s="55"/>
      <c r="X228" s="55"/>
      <c r="Y228" s="56"/>
      <c r="Z228" s="55"/>
      <c r="AA228" s="56"/>
      <c r="AB228" s="55"/>
      <c r="AC228" s="57" t="str">
        <f t="shared" si="26"/>
        <v/>
      </c>
      <c r="AD228" s="57" t="str">
        <f t="shared" si="27"/>
        <v/>
      </c>
      <c r="AE228" s="57" t="str">
        <f xml:space="preserve">
IF(OR('Dados da OS'!$D$8=Parâmetros!$B$3,'Dados da OS'!$D$8=Parâmetros!$B$4),
  IF(OR(ISBLANK(X228),ISBLANK(Z228)),
     IF(OR(V228="ALI",V228="AIE"),"L",IF(ISBLANK(V228),"","A")),
     IF(V228="EE",IF(Z228&gt;=3,IF(X228&gt;=5,"H","A"),
     IF(Z228&gt;=2,IF(X228&gt;=16,"H",IF(X228&lt;=4,"L","A")),IF(X228&lt;=15,"L","A"))),
     IF(OR(V228="SE",V228="CE"),IF(Z228&gt;=4,IF(X228&gt;=6,"H","A"),IF(Z228&gt;=2,IF(X228&gt;=20,"H",IF(X228&lt;=5,"L","A")),IF(X228&lt;=19,"L","A"))),
     IF(OR(V228="ALI",V228="AIE"),IF(Z228&gt;=6,IF(X228&gt;=20,"H","A"),IF(Z228&gt;=2,IF(X228&gt;=51,"H",IF(X228&lt;=19,"L","A")),IF(X228&lt;=50,"L","A"))))))),
IF('Dados da OS'!$D$8=Parâmetros!$B$6,"Indicativa",
IF('Dados da OS'!$D$8=Parâmetros!$B$5,"PFS","")))</f>
        <v/>
      </c>
      <c r="AF228" s="57">
        <f>IFERROR(VLOOKUP(W228,'Fatores de Impacto e INMs'!$A$3:$D$32,3,0),1)</f>
        <v>1</v>
      </c>
      <c r="AG228" s="57">
        <f>IFERROR(VLOOKUP(W228,'Fatores de Impacto e INMs'!$A$3:$E$32,5,0),1)</f>
        <v>1</v>
      </c>
      <c r="AH228" s="82" t="str">
        <f xml:space="preserve">
IF(OR('Dados da OS'!$D$8="Selecione o tipo da contagem",ISBLANK('Dados da OS'!$D$8),V228="INM",V228="N/A",ISBLANK(V228),ISBLANK(W228),AG228="VF"),"-",
   IF('Dados da OS'!$D$8=Parâmetros!$B$3,
      IF(OR(ISBLANK(X228),ISBLANK(Z228)),"-",
         IF(AE228="L","Baixa",IF(AE228="A","Média",IF(AE228="H","Alta","-")))),
      IF('Dados da OS'!$D$8=Parâmetros!$B$4,
         IF(OR(V228="ALI",V228="AIE"),"Baixa",IF(OR(V228="EE",V228="SE",V228="CE"),"Média","-")),
         IF(OR('Dados da OS'!$D$8=Parâmetros!$B$5,'Dados da OS'!$D$8=Parâmetros!$B$6),"-"))))</f>
        <v>-</v>
      </c>
      <c r="AI228" s="83" t="str">
        <f xml:space="preserve">
IF(OR(ISBLANK(V228),ISBLANK(U228),ISBLANK(W228),V228="N/A",ISBLANK('Dados da OS'!$D$8)),"",
   IF(OR('Dados da OS'!$D$8=Parâmetros!$B$3,'Dados da OS'!$D$8=Parâmetros!$B$4),
      IF(OR(AND(V228="INM",AG228&lt;&gt;"VF"),AND(AG228="VF",V228&lt;&gt;"INM")),"",
        IF(AND(V228="INM",AG228="VF"),IF(ISBLANK(AB228),"",AF228*AB228),
        IF('Dados da OS'!$D$8=Parâmetros!$B$4,
           IF(OR(V228="CE",V228="EE"),4,IF(V228="SE",5,IF(V228="ALI",7,IF(V228="AIE",5,"")))),
        IF('Dados da OS'!$D$8=Parâmetros!$B$3,
           IF(OR(ISBLANK(X228),ISBLANK(Z228)),"",
              IF(V228="ALI",IF(AE228="L",7,IF(AE228="A",10,15)),
                 IF(V228="AIE",IF(AE228="L",5,IF(AE228="A",7,10)),
                    IF(V228="SE",IF(AE228="L",4,IF(AE228="A",5,7)),
                       IF(OR(V228="EE",V228="CE"),IF(AE228="L",3,IF(AE228="A",4,6)),""))))))))),
   IF('Dados da OS'!$D$8=Parâmetros!$B$5,
      IF(OR(AND(V228="INM",AG228&lt;&gt;"VF"),AND(AG228="VF",V228&lt;&gt;"INM")),"",
         IF(V228="INM",IF(AG228="VF",AF228*AB228,""),
            IF(V228="PE",4.6,
            IF(V228="AL",7,"")))),
   IF('Dados da OS'!$D$8=Parâmetros!$B$6,
      IF(V228="ALI",35,IF(V228="AIE",15,"")),""))
    )
)</f>
        <v/>
      </c>
      <c r="AJ228" s="82" t="str">
        <f t="shared" si="28"/>
        <v/>
      </c>
      <c r="AK228" s="84"/>
      <c r="AL228" s="85" t="s">
        <v>21</v>
      </c>
      <c r="AM228" s="86"/>
      <c r="AN228" s="85"/>
      <c r="AO228" s="87"/>
      <c r="AP228" s="85"/>
      <c r="AQ228" s="86"/>
      <c r="AR228" s="85"/>
    </row>
    <row r="229" spans="1:44" ht="15.75" customHeight="1">
      <c r="A229" s="54"/>
      <c r="B229" s="100"/>
      <c r="C229" s="55"/>
      <c r="D229" s="55"/>
      <c r="E229" s="56"/>
      <c r="F229" s="55"/>
      <c r="G229" s="56"/>
      <c r="H229" s="55"/>
      <c r="I229" s="64"/>
      <c r="J229" s="57" t="str">
        <f t="shared" si="23"/>
        <v/>
      </c>
      <c r="K229" s="57" t="str">
        <f t="shared" si="24"/>
        <v/>
      </c>
      <c r="L229" s="57" t="str">
        <f xml:space="preserve">
IF(OR('Dados da OS'!$D$8=Parâmetros!$B$3,'Dados da OS'!$D$8=Parâmetros!$B$4),
  IF(OR(ISBLANK(D229),ISBLANK(F229)),
     IF(OR(B229="ALI",B229="AIE"),"L",IF(ISBLANK(B229),"","A")),
     IF(B229="EE",IF(F229&gt;=3,IF(D229&gt;=5,"H","A"),
     IF(F229&gt;=2,IF(D229&gt;=16,"H",IF(D229&lt;=4,"L","A")),IF(D229&lt;=15,"L","A"))),
     IF(OR(B229="SE",B229="CE"),IF(F229&gt;=4,IF(D229&gt;=6,"H","A"),IF(F229&gt;=2,IF(D229&gt;=20,"H",IF(D229&lt;=5,"L","A")),IF(D229&lt;=19,"L","A"))),
     IF(OR(B229="ALI",B229="AIE"),IF(F229&gt;=6,IF(D229&gt;=20,"H","A"),IF(F229&gt;=2,IF(D229&gt;=51,"H",IF(D229&lt;=19,"L","A")),IF(D229&lt;=50,"L","A"))))))),
IF('Dados da OS'!$D$8=Parâmetros!$B$6,"Indicativa",
IF('Dados da OS'!$D$8=Parâmetros!$B$5,"PFS","")))</f>
        <v/>
      </c>
      <c r="M229" s="57">
        <f>IFERROR(VLOOKUP(C229,'Fatores de Impacto e INMs'!$A$3:$D$32,3,0),1)</f>
        <v>1</v>
      </c>
      <c r="N229" s="57">
        <f>IFERROR(VLOOKUP(C229,'Fatores de Impacto e INMs'!$A$3:$E$32,5,0),1)</f>
        <v>1</v>
      </c>
      <c r="O229" s="63" t="str">
        <f xml:space="preserve">
IF(OR('Dados da OS'!$D$8="Selecione o tipo da contagem",ISBLANK('Dados da OS'!$D$8),B229="INM",B229="N/A",ISBLANK(B229),ISBLANK(C229),N229="VF"),"-",
   IF('Dados da OS'!$D$8=Parâmetros!$B$3,
      IF(OR(ISBLANK(D229),ISBLANK(F229)),"-",
         IF(L229="L","Baixa",IF(L229="A","Média",IF(L229="H","Alta","-")))),
      IF('Dados da OS'!$D$8=Parâmetros!$B$4,
         IF(OR(B229="ALI",B229="AIE"),"Baixa",IF(OR(B229="EE",B229="SE",B229="CE"),"Média","-")),
         IF(OR('Dados da OS'!$D$8=Parâmetros!$B$5,'Dados da OS'!$D$8=Parâmetros!$B$6),"-"))))</f>
        <v>-</v>
      </c>
      <c r="P229" s="59" t="str">
        <f xml:space="preserve">
IF(OR(ISBLANK(B229),ISBLANK(C229),B229="N/A",ISBLANK('Dados da OS'!$D$8)),"",
   IF(OR('Dados da OS'!$D$8=Parâmetros!$B$3,'Dados da OS'!$D$8=Parâmetros!$B$4),
      IF(OR(AND(B229="INM",N229&lt;&gt;"VF"),AND(N229="VF",B229&lt;&gt;"INM")),"",
        IF(AND(B229="INM",N229="VF"),IF(ISBLANK(H229),"",M229*H229),
        IF('Dados da OS'!$D$8=Parâmetros!$B$4,
           IF(OR(B229="CE",B229="EE"),4,IF(B229="SE",5,IF(B229="ALI",7,IF(B229="AIE",5,"")))),
        IF('Dados da OS'!$D$8=Parâmetros!$B$3,
           IF(OR(ISBLANK(D229),ISBLANK(F229)),"",
              IF(B229="ALI",IF(L229="L",7,IF(L229="A",10,15)),
                 IF(B229="AIE",IF(L229="L",5,IF(L229="A",7,10)),
                    IF(B229="SE",IF(L229="L",4,IF(L229="A",5,7)),
                       IF(OR(B229="EE",B229="CE"),IF(L229="L",3,IF(L229="A",4,6)),""))))))))),
   IF('Dados da OS'!$D$8=Parâmetros!$B$5,
      IF(OR(AND(B229="INM",N229&lt;&gt;"VF"),AND(N229="VF",B229&lt;&gt;"INM")),"",
         IF(B229="INM",IF(N229="VF",M229*H229,""),
            IF(B229="PE",4.6,
            IF(B229="AL",7,"")))),
   IF('Dados da OS'!$D$8=Parâmetros!$B$6,
      IF(B229="ALI",35,IF(B229="AIE",15,"")),""))
    )
)</f>
        <v/>
      </c>
      <c r="Q229" s="60" t="str">
        <f t="shared" si="25"/>
        <v/>
      </c>
      <c r="R229" s="61"/>
      <c r="S229" s="62"/>
      <c r="T229" s="80" t="s">
        <v>21</v>
      </c>
      <c r="U229" s="81"/>
      <c r="V229" s="99"/>
      <c r="W229" s="55"/>
      <c r="X229" s="55"/>
      <c r="Y229" s="56"/>
      <c r="Z229" s="55"/>
      <c r="AA229" s="56"/>
      <c r="AB229" s="55"/>
      <c r="AC229" s="57" t="str">
        <f t="shared" si="26"/>
        <v/>
      </c>
      <c r="AD229" s="57" t="str">
        <f t="shared" si="27"/>
        <v/>
      </c>
      <c r="AE229" s="57" t="str">
        <f xml:space="preserve">
IF(OR('Dados da OS'!$D$8=Parâmetros!$B$3,'Dados da OS'!$D$8=Parâmetros!$B$4),
  IF(OR(ISBLANK(X229),ISBLANK(Z229)),
     IF(OR(V229="ALI",V229="AIE"),"L",IF(ISBLANK(V229),"","A")),
     IF(V229="EE",IF(Z229&gt;=3,IF(X229&gt;=5,"H","A"),
     IF(Z229&gt;=2,IF(X229&gt;=16,"H",IF(X229&lt;=4,"L","A")),IF(X229&lt;=15,"L","A"))),
     IF(OR(V229="SE",V229="CE"),IF(Z229&gt;=4,IF(X229&gt;=6,"H","A"),IF(Z229&gt;=2,IF(X229&gt;=20,"H",IF(X229&lt;=5,"L","A")),IF(X229&lt;=19,"L","A"))),
     IF(OR(V229="ALI",V229="AIE"),IF(Z229&gt;=6,IF(X229&gt;=20,"H","A"),IF(Z229&gt;=2,IF(X229&gt;=51,"H",IF(X229&lt;=19,"L","A")),IF(X229&lt;=50,"L","A"))))))),
IF('Dados da OS'!$D$8=Parâmetros!$B$6,"Indicativa",
IF('Dados da OS'!$D$8=Parâmetros!$B$5,"PFS","")))</f>
        <v/>
      </c>
      <c r="AF229" s="57">
        <f>IFERROR(VLOOKUP(W229,'Fatores de Impacto e INMs'!$A$3:$D$32,3,0),1)</f>
        <v>1</v>
      </c>
      <c r="AG229" s="57">
        <f>IFERROR(VLOOKUP(W229,'Fatores de Impacto e INMs'!$A$3:$E$32,5,0),1)</f>
        <v>1</v>
      </c>
      <c r="AH229" s="82" t="str">
        <f xml:space="preserve">
IF(OR('Dados da OS'!$D$8="Selecione o tipo da contagem",ISBLANK('Dados da OS'!$D$8),V229="INM",V229="N/A",ISBLANK(V229),ISBLANK(W229),AG229="VF"),"-",
   IF('Dados da OS'!$D$8=Parâmetros!$B$3,
      IF(OR(ISBLANK(X229),ISBLANK(Z229)),"-",
         IF(AE229="L","Baixa",IF(AE229="A","Média",IF(AE229="H","Alta","-")))),
      IF('Dados da OS'!$D$8=Parâmetros!$B$4,
         IF(OR(V229="ALI",V229="AIE"),"Baixa",IF(OR(V229="EE",V229="SE",V229="CE"),"Média","-")),
         IF(OR('Dados da OS'!$D$8=Parâmetros!$B$5,'Dados da OS'!$D$8=Parâmetros!$B$6),"-"))))</f>
        <v>-</v>
      </c>
      <c r="AI229" s="83" t="str">
        <f xml:space="preserve">
IF(OR(ISBLANK(V229),ISBLANK(U229),ISBLANK(W229),V229="N/A",ISBLANK('Dados da OS'!$D$8)),"",
   IF(OR('Dados da OS'!$D$8=Parâmetros!$B$3,'Dados da OS'!$D$8=Parâmetros!$B$4),
      IF(OR(AND(V229="INM",AG229&lt;&gt;"VF"),AND(AG229="VF",V229&lt;&gt;"INM")),"",
        IF(AND(V229="INM",AG229="VF"),IF(ISBLANK(AB229),"",AF229*AB229),
        IF('Dados da OS'!$D$8=Parâmetros!$B$4,
           IF(OR(V229="CE",V229="EE"),4,IF(V229="SE",5,IF(V229="ALI",7,IF(V229="AIE",5,"")))),
        IF('Dados da OS'!$D$8=Parâmetros!$B$3,
           IF(OR(ISBLANK(X229),ISBLANK(Z229)),"",
              IF(V229="ALI",IF(AE229="L",7,IF(AE229="A",10,15)),
                 IF(V229="AIE",IF(AE229="L",5,IF(AE229="A",7,10)),
                    IF(V229="SE",IF(AE229="L",4,IF(AE229="A",5,7)),
                       IF(OR(V229="EE",V229="CE"),IF(AE229="L",3,IF(AE229="A",4,6)),""))))))))),
   IF('Dados da OS'!$D$8=Parâmetros!$B$5,
      IF(OR(AND(V229="INM",AG229&lt;&gt;"VF"),AND(AG229="VF",V229&lt;&gt;"INM")),"",
         IF(V229="INM",IF(AG229="VF",AF229*AB229,""),
            IF(V229="PE",4.6,
            IF(V229="AL",7,"")))),
   IF('Dados da OS'!$D$8=Parâmetros!$B$6,
      IF(V229="ALI",35,IF(V229="AIE",15,"")),""))
    )
)</f>
        <v/>
      </c>
      <c r="AJ229" s="82" t="str">
        <f t="shared" si="28"/>
        <v/>
      </c>
      <c r="AK229" s="84"/>
      <c r="AL229" s="85" t="s">
        <v>21</v>
      </c>
      <c r="AM229" s="86"/>
      <c r="AN229" s="85"/>
      <c r="AO229" s="87"/>
      <c r="AP229" s="85"/>
      <c r="AQ229" s="86"/>
      <c r="AR229" s="85"/>
    </row>
    <row r="230" spans="1:44" ht="15.75" customHeight="1">
      <c r="A230" s="54"/>
      <c r="B230" s="100"/>
      <c r="C230" s="55"/>
      <c r="D230" s="55"/>
      <c r="E230" s="56"/>
      <c r="F230" s="55"/>
      <c r="G230" s="56"/>
      <c r="H230" s="55"/>
      <c r="I230" s="64"/>
      <c r="J230" s="57" t="str">
        <f t="shared" si="23"/>
        <v/>
      </c>
      <c r="K230" s="57" t="str">
        <f t="shared" si="24"/>
        <v/>
      </c>
      <c r="L230" s="57" t="str">
        <f xml:space="preserve">
IF(OR('Dados da OS'!$D$8=Parâmetros!$B$3,'Dados da OS'!$D$8=Parâmetros!$B$4),
  IF(OR(ISBLANK(D230),ISBLANK(F230)),
     IF(OR(B230="ALI",B230="AIE"),"L",IF(ISBLANK(B230),"","A")),
     IF(B230="EE",IF(F230&gt;=3,IF(D230&gt;=5,"H","A"),
     IF(F230&gt;=2,IF(D230&gt;=16,"H",IF(D230&lt;=4,"L","A")),IF(D230&lt;=15,"L","A"))),
     IF(OR(B230="SE",B230="CE"),IF(F230&gt;=4,IF(D230&gt;=6,"H","A"),IF(F230&gt;=2,IF(D230&gt;=20,"H",IF(D230&lt;=5,"L","A")),IF(D230&lt;=19,"L","A"))),
     IF(OR(B230="ALI",B230="AIE"),IF(F230&gt;=6,IF(D230&gt;=20,"H","A"),IF(F230&gt;=2,IF(D230&gt;=51,"H",IF(D230&lt;=19,"L","A")),IF(D230&lt;=50,"L","A"))))))),
IF('Dados da OS'!$D$8=Parâmetros!$B$6,"Indicativa",
IF('Dados da OS'!$D$8=Parâmetros!$B$5,"PFS","")))</f>
        <v/>
      </c>
      <c r="M230" s="57">
        <f>IFERROR(VLOOKUP(C230,'Fatores de Impacto e INMs'!$A$3:$D$32,3,0),1)</f>
        <v>1</v>
      </c>
      <c r="N230" s="57">
        <f>IFERROR(VLOOKUP(C230,'Fatores de Impacto e INMs'!$A$3:$E$32,5,0),1)</f>
        <v>1</v>
      </c>
      <c r="O230" s="63" t="str">
        <f xml:space="preserve">
IF(OR('Dados da OS'!$D$8="Selecione o tipo da contagem",ISBLANK('Dados da OS'!$D$8),B230="INM",B230="N/A",ISBLANK(B230),ISBLANK(C230),N230="VF"),"-",
   IF('Dados da OS'!$D$8=Parâmetros!$B$3,
      IF(OR(ISBLANK(D230),ISBLANK(F230)),"-",
         IF(L230="L","Baixa",IF(L230="A","Média",IF(L230="H","Alta","-")))),
      IF('Dados da OS'!$D$8=Parâmetros!$B$4,
         IF(OR(B230="ALI",B230="AIE"),"Baixa",IF(OR(B230="EE",B230="SE",B230="CE"),"Média","-")),
         IF(OR('Dados da OS'!$D$8=Parâmetros!$B$5,'Dados da OS'!$D$8=Parâmetros!$B$6),"-"))))</f>
        <v>-</v>
      </c>
      <c r="P230" s="59" t="str">
        <f xml:space="preserve">
IF(OR(ISBLANK(B230),ISBLANK(C230),B230="N/A",ISBLANK('Dados da OS'!$D$8)),"",
   IF(OR('Dados da OS'!$D$8=Parâmetros!$B$3,'Dados da OS'!$D$8=Parâmetros!$B$4),
      IF(OR(AND(B230="INM",N230&lt;&gt;"VF"),AND(N230="VF",B230&lt;&gt;"INM")),"",
        IF(AND(B230="INM",N230="VF"),IF(ISBLANK(H230),"",M230*H230),
        IF('Dados da OS'!$D$8=Parâmetros!$B$4,
           IF(OR(B230="CE",B230="EE"),4,IF(B230="SE",5,IF(B230="ALI",7,IF(B230="AIE",5,"")))),
        IF('Dados da OS'!$D$8=Parâmetros!$B$3,
           IF(OR(ISBLANK(D230),ISBLANK(F230)),"",
              IF(B230="ALI",IF(L230="L",7,IF(L230="A",10,15)),
                 IF(B230="AIE",IF(L230="L",5,IF(L230="A",7,10)),
                    IF(B230="SE",IF(L230="L",4,IF(L230="A",5,7)),
                       IF(OR(B230="EE",B230="CE"),IF(L230="L",3,IF(L230="A",4,6)),""))))))))),
   IF('Dados da OS'!$D$8=Parâmetros!$B$5,
      IF(OR(AND(B230="INM",N230&lt;&gt;"VF"),AND(N230="VF",B230&lt;&gt;"INM")),"",
         IF(B230="INM",IF(N230="VF",M230*H230,""),
            IF(B230="PE",4.6,
            IF(B230="AL",7,"")))),
   IF('Dados da OS'!$D$8=Parâmetros!$B$6,
      IF(B230="ALI",35,IF(B230="AIE",15,"")),""))
    )
)</f>
        <v/>
      </c>
      <c r="Q230" s="60" t="str">
        <f t="shared" si="25"/>
        <v/>
      </c>
      <c r="R230" s="61"/>
      <c r="S230" s="62"/>
      <c r="T230" s="80" t="s">
        <v>21</v>
      </c>
      <c r="U230" s="81"/>
      <c r="V230" s="99"/>
      <c r="W230" s="55"/>
      <c r="X230" s="55"/>
      <c r="Y230" s="56"/>
      <c r="Z230" s="55"/>
      <c r="AA230" s="56"/>
      <c r="AB230" s="55"/>
      <c r="AC230" s="57" t="str">
        <f t="shared" si="26"/>
        <v/>
      </c>
      <c r="AD230" s="57" t="str">
        <f t="shared" si="27"/>
        <v/>
      </c>
      <c r="AE230" s="57" t="str">
        <f xml:space="preserve">
IF(OR('Dados da OS'!$D$8=Parâmetros!$B$3,'Dados da OS'!$D$8=Parâmetros!$B$4),
  IF(OR(ISBLANK(X230),ISBLANK(Z230)),
     IF(OR(V230="ALI",V230="AIE"),"L",IF(ISBLANK(V230),"","A")),
     IF(V230="EE",IF(Z230&gt;=3,IF(X230&gt;=5,"H","A"),
     IF(Z230&gt;=2,IF(X230&gt;=16,"H",IF(X230&lt;=4,"L","A")),IF(X230&lt;=15,"L","A"))),
     IF(OR(V230="SE",V230="CE"),IF(Z230&gt;=4,IF(X230&gt;=6,"H","A"),IF(Z230&gt;=2,IF(X230&gt;=20,"H",IF(X230&lt;=5,"L","A")),IF(X230&lt;=19,"L","A"))),
     IF(OR(V230="ALI",V230="AIE"),IF(Z230&gt;=6,IF(X230&gt;=20,"H","A"),IF(Z230&gt;=2,IF(X230&gt;=51,"H",IF(X230&lt;=19,"L","A")),IF(X230&lt;=50,"L","A"))))))),
IF('Dados da OS'!$D$8=Parâmetros!$B$6,"Indicativa",
IF('Dados da OS'!$D$8=Parâmetros!$B$5,"PFS","")))</f>
        <v/>
      </c>
      <c r="AF230" s="57">
        <f>IFERROR(VLOOKUP(W230,'Fatores de Impacto e INMs'!$A$3:$D$32,3,0),1)</f>
        <v>1</v>
      </c>
      <c r="AG230" s="57">
        <f>IFERROR(VLOOKUP(W230,'Fatores de Impacto e INMs'!$A$3:$E$32,5,0),1)</f>
        <v>1</v>
      </c>
      <c r="AH230" s="82" t="str">
        <f xml:space="preserve">
IF(OR('Dados da OS'!$D$8="Selecione o tipo da contagem",ISBLANK('Dados da OS'!$D$8),V230="INM",V230="N/A",ISBLANK(V230),ISBLANK(W230),AG230="VF"),"-",
   IF('Dados da OS'!$D$8=Parâmetros!$B$3,
      IF(OR(ISBLANK(X230),ISBLANK(Z230)),"-",
         IF(AE230="L","Baixa",IF(AE230="A","Média",IF(AE230="H","Alta","-")))),
      IF('Dados da OS'!$D$8=Parâmetros!$B$4,
         IF(OR(V230="ALI",V230="AIE"),"Baixa",IF(OR(V230="EE",V230="SE",V230="CE"),"Média","-")),
         IF(OR('Dados da OS'!$D$8=Parâmetros!$B$5,'Dados da OS'!$D$8=Parâmetros!$B$6),"-"))))</f>
        <v>-</v>
      </c>
      <c r="AI230" s="83" t="str">
        <f xml:space="preserve">
IF(OR(ISBLANK(V230),ISBLANK(U230),ISBLANK(W230),V230="N/A",ISBLANK('Dados da OS'!$D$8)),"",
   IF(OR('Dados da OS'!$D$8=Parâmetros!$B$3,'Dados da OS'!$D$8=Parâmetros!$B$4),
      IF(OR(AND(V230="INM",AG230&lt;&gt;"VF"),AND(AG230="VF",V230&lt;&gt;"INM")),"",
        IF(AND(V230="INM",AG230="VF"),IF(ISBLANK(AB230),"",AF230*AB230),
        IF('Dados da OS'!$D$8=Parâmetros!$B$4,
           IF(OR(V230="CE",V230="EE"),4,IF(V230="SE",5,IF(V230="ALI",7,IF(V230="AIE",5,"")))),
        IF('Dados da OS'!$D$8=Parâmetros!$B$3,
           IF(OR(ISBLANK(X230),ISBLANK(Z230)),"",
              IF(V230="ALI",IF(AE230="L",7,IF(AE230="A",10,15)),
                 IF(V230="AIE",IF(AE230="L",5,IF(AE230="A",7,10)),
                    IF(V230="SE",IF(AE230="L",4,IF(AE230="A",5,7)),
                       IF(OR(V230="EE",V230="CE"),IF(AE230="L",3,IF(AE230="A",4,6)),""))))))))),
   IF('Dados da OS'!$D$8=Parâmetros!$B$5,
      IF(OR(AND(V230="INM",AG230&lt;&gt;"VF"),AND(AG230="VF",V230&lt;&gt;"INM")),"",
         IF(V230="INM",IF(AG230="VF",AF230*AB230,""),
            IF(V230="PE",4.6,
            IF(V230="AL",7,"")))),
   IF('Dados da OS'!$D$8=Parâmetros!$B$6,
      IF(V230="ALI",35,IF(V230="AIE",15,"")),""))
    )
)</f>
        <v/>
      </c>
      <c r="AJ230" s="82" t="str">
        <f t="shared" si="28"/>
        <v/>
      </c>
      <c r="AK230" s="84"/>
      <c r="AL230" s="85" t="s">
        <v>21</v>
      </c>
      <c r="AM230" s="86"/>
      <c r="AN230" s="85"/>
      <c r="AO230" s="87"/>
      <c r="AP230" s="85"/>
      <c r="AQ230" s="86"/>
      <c r="AR230" s="85"/>
    </row>
    <row r="231" spans="1:44" ht="15.75" customHeight="1">
      <c r="A231" s="54"/>
      <c r="B231" s="100"/>
      <c r="C231" s="55"/>
      <c r="D231" s="55"/>
      <c r="E231" s="56"/>
      <c r="F231" s="55"/>
      <c r="G231" s="56"/>
      <c r="H231" s="55"/>
      <c r="I231" s="64"/>
      <c r="J231" s="57" t="str">
        <f t="shared" si="23"/>
        <v/>
      </c>
      <c r="K231" s="57" t="str">
        <f t="shared" si="24"/>
        <v/>
      </c>
      <c r="L231" s="57" t="str">
        <f xml:space="preserve">
IF(OR('Dados da OS'!$D$8=Parâmetros!$B$3,'Dados da OS'!$D$8=Parâmetros!$B$4),
  IF(OR(ISBLANK(D231),ISBLANK(F231)),
     IF(OR(B231="ALI",B231="AIE"),"L",IF(ISBLANK(B231),"","A")),
     IF(B231="EE",IF(F231&gt;=3,IF(D231&gt;=5,"H","A"),
     IF(F231&gt;=2,IF(D231&gt;=16,"H",IF(D231&lt;=4,"L","A")),IF(D231&lt;=15,"L","A"))),
     IF(OR(B231="SE",B231="CE"),IF(F231&gt;=4,IF(D231&gt;=6,"H","A"),IF(F231&gt;=2,IF(D231&gt;=20,"H",IF(D231&lt;=5,"L","A")),IF(D231&lt;=19,"L","A"))),
     IF(OR(B231="ALI",B231="AIE"),IF(F231&gt;=6,IF(D231&gt;=20,"H","A"),IF(F231&gt;=2,IF(D231&gt;=51,"H",IF(D231&lt;=19,"L","A")),IF(D231&lt;=50,"L","A"))))))),
IF('Dados da OS'!$D$8=Parâmetros!$B$6,"Indicativa",
IF('Dados da OS'!$D$8=Parâmetros!$B$5,"PFS","")))</f>
        <v/>
      </c>
      <c r="M231" s="57">
        <f>IFERROR(VLOOKUP(C231,'Fatores de Impacto e INMs'!$A$3:$D$32,3,0),1)</f>
        <v>1</v>
      </c>
      <c r="N231" s="57">
        <f>IFERROR(VLOOKUP(C231,'Fatores de Impacto e INMs'!$A$3:$E$32,5,0),1)</f>
        <v>1</v>
      </c>
      <c r="O231" s="63" t="str">
        <f xml:space="preserve">
IF(OR('Dados da OS'!$D$8="Selecione o tipo da contagem",ISBLANK('Dados da OS'!$D$8),B231="INM",B231="N/A",ISBLANK(B231),ISBLANK(C231),N231="VF"),"-",
   IF('Dados da OS'!$D$8=Parâmetros!$B$3,
      IF(OR(ISBLANK(D231),ISBLANK(F231)),"-",
         IF(L231="L","Baixa",IF(L231="A","Média",IF(L231="H","Alta","-")))),
      IF('Dados da OS'!$D$8=Parâmetros!$B$4,
         IF(OR(B231="ALI",B231="AIE"),"Baixa",IF(OR(B231="EE",B231="SE",B231="CE"),"Média","-")),
         IF(OR('Dados da OS'!$D$8=Parâmetros!$B$5,'Dados da OS'!$D$8=Parâmetros!$B$6),"-"))))</f>
        <v>-</v>
      </c>
      <c r="P231" s="59" t="str">
        <f xml:space="preserve">
IF(OR(ISBLANK(B231),ISBLANK(C231),B231="N/A",ISBLANK('Dados da OS'!$D$8)),"",
   IF(OR('Dados da OS'!$D$8=Parâmetros!$B$3,'Dados da OS'!$D$8=Parâmetros!$B$4),
      IF(OR(AND(B231="INM",N231&lt;&gt;"VF"),AND(N231="VF",B231&lt;&gt;"INM")),"",
        IF(AND(B231="INM",N231="VF"),IF(ISBLANK(H231),"",M231*H231),
        IF('Dados da OS'!$D$8=Parâmetros!$B$4,
           IF(OR(B231="CE",B231="EE"),4,IF(B231="SE",5,IF(B231="ALI",7,IF(B231="AIE",5,"")))),
        IF('Dados da OS'!$D$8=Parâmetros!$B$3,
           IF(OR(ISBLANK(D231),ISBLANK(F231)),"",
              IF(B231="ALI",IF(L231="L",7,IF(L231="A",10,15)),
                 IF(B231="AIE",IF(L231="L",5,IF(L231="A",7,10)),
                    IF(B231="SE",IF(L231="L",4,IF(L231="A",5,7)),
                       IF(OR(B231="EE",B231="CE"),IF(L231="L",3,IF(L231="A",4,6)),""))))))))),
   IF('Dados da OS'!$D$8=Parâmetros!$B$5,
      IF(OR(AND(B231="INM",N231&lt;&gt;"VF"),AND(N231="VF",B231&lt;&gt;"INM")),"",
         IF(B231="INM",IF(N231="VF",M231*H231,""),
            IF(B231="PE",4.6,
            IF(B231="AL",7,"")))),
   IF('Dados da OS'!$D$8=Parâmetros!$B$6,
      IF(B231="ALI",35,IF(B231="AIE",15,"")),""))
    )
)</f>
        <v/>
      </c>
      <c r="Q231" s="60" t="str">
        <f t="shared" si="25"/>
        <v/>
      </c>
      <c r="R231" s="61"/>
      <c r="S231" s="62"/>
      <c r="T231" s="80" t="s">
        <v>21</v>
      </c>
      <c r="U231" s="81"/>
      <c r="V231" s="99"/>
      <c r="W231" s="55"/>
      <c r="X231" s="55"/>
      <c r="Y231" s="56"/>
      <c r="Z231" s="55"/>
      <c r="AA231" s="56"/>
      <c r="AB231" s="55"/>
      <c r="AC231" s="57" t="str">
        <f t="shared" si="26"/>
        <v/>
      </c>
      <c r="AD231" s="57" t="str">
        <f t="shared" si="27"/>
        <v/>
      </c>
      <c r="AE231" s="57" t="str">
        <f xml:space="preserve">
IF(OR('Dados da OS'!$D$8=Parâmetros!$B$3,'Dados da OS'!$D$8=Parâmetros!$B$4),
  IF(OR(ISBLANK(X231),ISBLANK(Z231)),
     IF(OR(V231="ALI",V231="AIE"),"L",IF(ISBLANK(V231),"","A")),
     IF(V231="EE",IF(Z231&gt;=3,IF(X231&gt;=5,"H","A"),
     IF(Z231&gt;=2,IF(X231&gt;=16,"H",IF(X231&lt;=4,"L","A")),IF(X231&lt;=15,"L","A"))),
     IF(OR(V231="SE",V231="CE"),IF(Z231&gt;=4,IF(X231&gt;=6,"H","A"),IF(Z231&gt;=2,IF(X231&gt;=20,"H",IF(X231&lt;=5,"L","A")),IF(X231&lt;=19,"L","A"))),
     IF(OR(V231="ALI",V231="AIE"),IF(Z231&gt;=6,IF(X231&gt;=20,"H","A"),IF(Z231&gt;=2,IF(X231&gt;=51,"H",IF(X231&lt;=19,"L","A")),IF(X231&lt;=50,"L","A"))))))),
IF('Dados da OS'!$D$8=Parâmetros!$B$6,"Indicativa",
IF('Dados da OS'!$D$8=Parâmetros!$B$5,"PFS","")))</f>
        <v/>
      </c>
      <c r="AF231" s="57">
        <f>IFERROR(VLOOKUP(W231,'Fatores de Impacto e INMs'!$A$3:$D$32,3,0),1)</f>
        <v>1</v>
      </c>
      <c r="AG231" s="57">
        <f>IFERROR(VLOOKUP(W231,'Fatores de Impacto e INMs'!$A$3:$E$32,5,0),1)</f>
        <v>1</v>
      </c>
      <c r="AH231" s="82" t="str">
        <f xml:space="preserve">
IF(OR('Dados da OS'!$D$8="Selecione o tipo da contagem",ISBLANK('Dados da OS'!$D$8),V231="INM",V231="N/A",ISBLANK(V231),ISBLANK(W231),AG231="VF"),"-",
   IF('Dados da OS'!$D$8=Parâmetros!$B$3,
      IF(OR(ISBLANK(X231),ISBLANK(Z231)),"-",
         IF(AE231="L","Baixa",IF(AE231="A","Média",IF(AE231="H","Alta","-")))),
      IF('Dados da OS'!$D$8=Parâmetros!$B$4,
         IF(OR(V231="ALI",V231="AIE"),"Baixa",IF(OR(V231="EE",V231="SE",V231="CE"),"Média","-")),
         IF(OR('Dados da OS'!$D$8=Parâmetros!$B$5,'Dados da OS'!$D$8=Parâmetros!$B$6),"-"))))</f>
        <v>-</v>
      </c>
      <c r="AI231" s="83" t="str">
        <f xml:space="preserve">
IF(OR(ISBLANK(V231),ISBLANK(U231),ISBLANK(W231),V231="N/A",ISBLANK('Dados da OS'!$D$8)),"",
   IF(OR('Dados da OS'!$D$8=Parâmetros!$B$3,'Dados da OS'!$D$8=Parâmetros!$B$4),
      IF(OR(AND(V231="INM",AG231&lt;&gt;"VF"),AND(AG231="VF",V231&lt;&gt;"INM")),"",
        IF(AND(V231="INM",AG231="VF"),IF(ISBLANK(AB231),"",AF231*AB231),
        IF('Dados da OS'!$D$8=Parâmetros!$B$4,
           IF(OR(V231="CE",V231="EE"),4,IF(V231="SE",5,IF(V231="ALI",7,IF(V231="AIE",5,"")))),
        IF('Dados da OS'!$D$8=Parâmetros!$B$3,
           IF(OR(ISBLANK(X231),ISBLANK(Z231)),"",
              IF(V231="ALI",IF(AE231="L",7,IF(AE231="A",10,15)),
                 IF(V231="AIE",IF(AE231="L",5,IF(AE231="A",7,10)),
                    IF(V231="SE",IF(AE231="L",4,IF(AE231="A",5,7)),
                       IF(OR(V231="EE",V231="CE"),IF(AE231="L",3,IF(AE231="A",4,6)),""))))))))),
   IF('Dados da OS'!$D$8=Parâmetros!$B$5,
      IF(OR(AND(V231="INM",AG231&lt;&gt;"VF"),AND(AG231="VF",V231&lt;&gt;"INM")),"",
         IF(V231="INM",IF(AG231="VF",AF231*AB231,""),
            IF(V231="PE",4.6,
            IF(V231="AL",7,"")))),
   IF('Dados da OS'!$D$8=Parâmetros!$B$6,
      IF(V231="ALI",35,IF(V231="AIE",15,"")),""))
    )
)</f>
        <v/>
      </c>
      <c r="AJ231" s="82" t="str">
        <f t="shared" si="28"/>
        <v/>
      </c>
      <c r="AK231" s="84"/>
      <c r="AL231" s="85" t="s">
        <v>21</v>
      </c>
      <c r="AM231" s="86"/>
      <c r="AN231" s="85"/>
      <c r="AO231" s="87"/>
      <c r="AP231" s="85"/>
      <c r="AQ231" s="86"/>
      <c r="AR231" s="85"/>
    </row>
    <row r="232" spans="1:44" ht="15.75" customHeight="1">
      <c r="A232" s="54"/>
      <c r="B232" s="100"/>
      <c r="C232" s="55"/>
      <c r="D232" s="55"/>
      <c r="E232" s="56"/>
      <c r="F232" s="55"/>
      <c r="G232" s="56"/>
      <c r="H232" s="55"/>
      <c r="I232" s="64"/>
      <c r="J232" s="57" t="str">
        <f t="shared" si="23"/>
        <v/>
      </c>
      <c r="K232" s="57" t="str">
        <f t="shared" si="24"/>
        <v/>
      </c>
      <c r="L232" s="57" t="str">
        <f xml:space="preserve">
IF(OR('Dados da OS'!$D$8=Parâmetros!$B$3,'Dados da OS'!$D$8=Parâmetros!$B$4),
  IF(OR(ISBLANK(D232),ISBLANK(F232)),
     IF(OR(B232="ALI",B232="AIE"),"L",IF(ISBLANK(B232),"","A")),
     IF(B232="EE",IF(F232&gt;=3,IF(D232&gt;=5,"H","A"),
     IF(F232&gt;=2,IF(D232&gt;=16,"H",IF(D232&lt;=4,"L","A")),IF(D232&lt;=15,"L","A"))),
     IF(OR(B232="SE",B232="CE"),IF(F232&gt;=4,IF(D232&gt;=6,"H","A"),IF(F232&gt;=2,IF(D232&gt;=20,"H",IF(D232&lt;=5,"L","A")),IF(D232&lt;=19,"L","A"))),
     IF(OR(B232="ALI",B232="AIE"),IF(F232&gt;=6,IF(D232&gt;=20,"H","A"),IF(F232&gt;=2,IF(D232&gt;=51,"H",IF(D232&lt;=19,"L","A")),IF(D232&lt;=50,"L","A"))))))),
IF('Dados da OS'!$D$8=Parâmetros!$B$6,"Indicativa",
IF('Dados da OS'!$D$8=Parâmetros!$B$5,"PFS","")))</f>
        <v/>
      </c>
      <c r="M232" s="57">
        <f>IFERROR(VLOOKUP(C232,'Fatores de Impacto e INMs'!$A$3:$D$32,3,0),1)</f>
        <v>1</v>
      </c>
      <c r="N232" s="57">
        <f>IFERROR(VLOOKUP(C232,'Fatores de Impacto e INMs'!$A$3:$E$32,5,0),1)</f>
        <v>1</v>
      </c>
      <c r="O232" s="63" t="str">
        <f xml:space="preserve">
IF(OR('Dados da OS'!$D$8="Selecione o tipo da contagem",ISBLANK('Dados da OS'!$D$8),B232="INM",B232="N/A",ISBLANK(B232),ISBLANK(C232),N232="VF"),"-",
   IF('Dados da OS'!$D$8=Parâmetros!$B$3,
      IF(OR(ISBLANK(D232),ISBLANK(F232)),"-",
         IF(L232="L","Baixa",IF(L232="A","Média",IF(L232="H","Alta","-")))),
      IF('Dados da OS'!$D$8=Parâmetros!$B$4,
         IF(OR(B232="ALI",B232="AIE"),"Baixa",IF(OR(B232="EE",B232="SE",B232="CE"),"Média","-")),
         IF(OR('Dados da OS'!$D$8=Parâmetros!$B$5,'Dados da OS'!$D$8=Parâmetros!$B$6),"-"))))</f>
        <v>-</v>
      </c>
      <c r="P232" s="59" t="str">
        <f xml:space="preserve">
IF(OR(ISBLANK(B232),ISBLANK(C232),B232="N/A",ISBLANK('Dados da OS'!$D$8)),"",
   IF(OR('Dados da OS'!$D$8=Parâmetros!$B$3,'Dados da OS'!$D$8=Parâmetros!$B$4),
      IF(OR(AND(B232="INM",N232&lt;&gt;"VF"),AND(N232="VF",B232&lt;&gt;"INM")),"",
        IF(AND(B232="INM",N232="VF"),IF(ISBLANK(H232),"",M232*H232),
        IF('Dados da OS'!$D$8=Parâmetros!$B$4,
           IF(OR(B232="CE",B232="EE"),4,IF(B232="SE",5,IF(B232="ALI",7,IF(B232="AIE",5,"")))),
        IF('Dados da OS'!$D$8=Parâmetros!$B$3,
           IF(OR(ISBLANK(D232),ISBLANK(F232)),"",
              IF(B232="ALI",IF(L232="L",7,IF(L232="A",10,15)),
                 IF(B232="AIE",IF(L232="L",5,IF(L232="A",7,10)),
                    IF(B232="SE",IF(L232="L",4,IF(L232="A",5,7)),
                       IF(OR(B232="EE",B232="CE"),IF(L232="L",3,IF(L232="A",4,6)),""))))))))),
   IF('Dados da OS'!$D$8=Parâmetros!$B$5,
      IF(OR(AND(B232="INM",N232&lt;&gt;"VF"),AND(N232="VF",B232&lt;&gt;"INM")),"",
         IF(B232="INM",IF(N232="VF",M232*H232,""),
            IF(B232="PE",4.6,
            IF(B232="AL",7,"")))),
   IF('Dados da OS'!$D$8=Parâmetros!$B$6,
      IF(B232="ALI",35,IF(B232="AIE",15,"")),""))
    )
)</f>
        <v/>
      </c>
      <c r="Q232" s="60" t="str">
        <f t="shared" si="25"/>
        <v/>
      </c>
      <c r="R232" s="61"/>
      <c r="S232" s="62"/>
      <c r="T232" s="80" t="s">
        <v>21</v>
      </c>
      <c r="U232" s="81"/>
      <c r="V232" s="99"/>
      <c r="W232" s="55"/>
      <c r="X232" s="55"/>
      <c r="Y232" s="56"/>
      <c r="Z232" s="55"/>
      <c r="AA232" s="56"/>
      <c r="AB232" s="55"/>
      <c r="AC232" s="57" t="str">
        <f t="shared" si="26"/>
        <v/>
      </c>
      <c r="AD232" s="57" t="str">
        <f t="shared" si="27"/>
        <v/>
      </c>
      <c r="AE232" s="57" t="str">
        <f xml:space="preserve">
IF(OR('Dados da OS'!$D$8=Parâmetros!$B$3,'Dados da OS'!$D$8=Parâmetros!$B$4),
  IF(OR(ISBLANK(X232),ISBLANK(Z232)),
     IF(OR(V232="ALI",V232="AIE"),"L",IF(ISBLANK(V232),"","A")),
     IF(V232="EE",IF(Z232&gt;=3,IF(X232&gt;=5,"H","A"),
     IF(Z232&gt;=2,IF(X232&gt;=16,"H",IF(X232&lt;=4,"L","A")),IF(X232&lt;=15,"L","A"))),
     IF(OR(V232="SE",V232="CE"),IF(Z232&gt;=4,IF(X232&gt;=6,"H","A"),IF(Z232&gt;=2,IF(X232&gt;=20,"H",IF(X232&lt;=5,"L","A")),IF(X232&lt;=19,"L","A"))),
     IF(OR(V232="ALI",V232="AIE"),IF(Z232&gt;=6,IF(X232&gt;=20,"H","A"),IF(Z232&gt;=2,IF(X232&gt;=51,"H",IF(X232&lt;=19,"L","A")),IF(X232&lt;=50,"L","A"))))))),
IF('Dados da OS'!$D$8=Parâmetros!$B$6,"Indicativa",
IF('Dados da OS'!$D$8=Parâmetros!$B$5,"PFS","")))</f>
        <v/>
      </c>
      <c r="AF232" s="57">
        <f>IFERROR(VLOOKUP(W232,'Fatores de Impacto e INMs'!$A$3:$D$32,3,0),1)</f>
        <v>1</v>
      </c>
      <c r="AG232" s="57">
        <f>IFERROR(VLOOKUP(W232,'Fatores de Impacto e INMs'!$A$3:$E$32,5,0),1)</f>
        <v>1</v>
      </c>
      <c r="AH232" s="82" t="str">
        <f xml:space="preserve">
IF(OR('Dados da OS'!$D$8="Selecione o tipo da contagem",ISBLANK('Dados da OS'!$D$8),V232="INM",V232="N/A",ISBLANK(V232),ISBLANK(W232),AG232="VF"),"-",
   IF('Dados da OS'!$D$8=Parâmetros!$B$3,
      IF(OR(ISBLANK(X232),ISBLANK(Z232)),"-",
         IF(AE232="L","Baixa",IF(AE232="A","Média",IF(AE232="H","Alta","-")))),
      IF('Dados da OS'!$D$8=Parâmetros!$B$4,
         IF(OR(V232="ALI",V232="AIE"),"Baixa",IF(OR(V232="EE",V232="SE",V232="CE"),"Média","-")),
         IF(OR('Dados da OS'!$D$8=Parâmetros!$B$5,'Dados da OS'!$D$8=Parâmetros!$B$6),"-"))))</f>
        <v>-</v>
      </c>
      <c r="AI232" s="83" t="str">
        <f xml:space="preserve">
IF(OR(ISBLANK(V232),ISBLANK(U232),ISBLANK(W232),V232="N/A",ISBLANK('Dados da OS'!$D$8)),"",
   IF(OR('Dados da OS'!$D$8=Parâmetros!$B$3,'Dados da OS'!$D$8=Parâmetros!$B$4),
      IF(OR(AND(V232="INM",AG232&lt;&gt;"VF"),AND(AG232="VF",V232&lt;&gt;"INM")),"",
        IF(AND(V232="INM",AG232="VF"),IF(ISBLANK(AB232),"",AF232*AB232),
        IF('Dados da OS'!$D$8=Parâmetros!$B$4,
           IF(OR(V232="CE",V232="EE"),4,IF(V232="SE",5,IF(V232="ALI",7,IF(V232="AIE",5,"")))),
        IF('Dados da OS'!$D$8=Parâmetros!$B$3,
           IF(OR(ISBLANK(X232),ISBLANK(Z232)),"",
              IF(V232="ALI",IF(AE232="L",7,IF(AE232="A",10,15)),
                 IF(V232="AIE",IF(AE232="L",5,IF(AE232="A",7,10)),
                    IF(V232="SE",IF(AE232="L",4,IF(AE232="A",5,7)),
                       IF(OR(V232="EE",V232="CE"),IF(AE232="L",3,IF(AE232="A",4,6)),""))))))))),
   IF('Dados da OS'!$D$8=Parâmetros!$B$5,
      IF(OR(AND(V232="INM",AG232&lt;&gt;"VF"),AND(AG232="VF",V232&lt;&gt;"INM")),"",
         IF(V232="INM",IF(AG232="VF",AF232*AB232,""),
            IF(V232="PE",4.6,
            IF(V232="AL",7,"")))),
   IF('Dados da OS'!$D$8=Parâmetros!$B$6,
      IF(V232="ALI",35,IF(V232="AIE",15,"")),""))
    )
)</f>
        <v/>
      </c>
      <c r="AJ232" s="82" t="str">
        <f t="shared" si="28"/>
        <v/>
      </c>
      <c r="AK232" s="84"/>
      <c r="AL232" s="85" t="s">
        <v>21</v>
      </c>
      <c r="AM232" s="86"/>
      <c r="AN232" s="85"/>
      <c r="AO232" s="87"/>
      <c r="AP232" s="85"/>
      <c r="AQ232" s="86"/>
      <c r="AR232" s="85"/>
    </row>
    <row r="233" spans="1:44" ht="15.75" customHeight="1">
      <c r="A233" s="54"/>
      <c r="B233" s="100"/>
      <c r="C233" s="55"/>
      <c r="D233" s="55"/>
      <c r="E233" s="56"/>
      <c r="F233" s="55"/>
      <c r="G233" s="56"/>
      <c r="H233" s="55"/>
      <c r="I233" s="64"/>
      <c r="J233" s="57" t="str">
        <f t="shared" si="23"/>
        <v/>
      </c>
      <c r="K233" s="57" t="str">
        <f t="shared" si="24"/>
        <v/>
      </c>
      <c r="L233" s="57" t="str">
        <f xml:space="preserve">
IF(OR('Dados da OS'!$D$8=Parâmetros!$B$3,'Dados da OS'!$D$8=Parâmetros!$B$4),
  IF(OR(ISBLANK(D233),ISBLANK(F233)),
     IF(OR(B233="ALI",B233="AIE"),"L",IF(ISBLANK(B233),"","A")),
     IF(B233="EE",IF(F233&gt;=3,IF(D233&gt;=5,"H","A"),
     IF(F233&gt;=2,IF(D233&gt;=16,"H",IF(D233&lt;=4,"L","A")),IF(D233&lt;=15,"L","A"))),
     IF(OR(B233="SE",B233="CE"),IF(F233&gt;=4,IF(D233&gt;=6,"H","A"),IF(F233&gt;=2,IF(D233&gt;=20,"H",IF(D233&lt;=5,"L","A")),IF(D233&lt;=19,"L","A"))),
     IF(OR(B233="ALI",B233="AIE"),IF(F233&gt;=6,IF(D233&gt;=20,"H","A"),IF(F233&gt;=2,IF(D233&gt;=51,"H",IF(D233&lt;=19,"L","A")),IF(D233&lt;=50,"L","A"))))))),
IF('Dados da OS'!$D$8=Parâmetros!$B$6,"Indicativa",
IF('Dados da OS'!$D$8=Parâmetros!$B$5,"PFS","")))</f>
        <v/>
      </c>
      <c r="M233" s="57">
        <f>IFERROR(VLOOKUP(C233,'Fatores de Impacto e INMs'!$A$3:$D$32,3,0),1)</f>
        <v>1</v>
      </c>
      <c r="N233" s="57">
        <f>IFERROR(VLOOKUP(C233,'Fatores de Impacto e INMs'!$A$3:$E$32,5,0),1)</f>
        <v>1</v>
      </c>
      <c r="O233" s="63" t="str">
        <f xml:space="preserve">
IF(OR('Dados da OS'!$D$8="Selecione o tipo da contagem",ISBLANK('Dados da OS'!$D$8),B233="INM",B233="N/A",ISBLANK(B233),ISBLANK(C233),N233="VF"),"-",
   IF('Dados da OS'!$D$8=Parâmetros!$B$3,
      IF(OR(ISBLANK(D233),ISBLANK(F233)),"-",
         IF(L233="L","Baixa",IF(L233="A","Média",IF(L233="H","Alta","-")))),
      IF('Dados da OS'!$D$8=Parâmetros!$B$4,
         IF(OR(B233="ALI",B233="AIE"),"Baixa",IF(OR(B233="EE",B233="SE",B233="CE"),"Média","-")),
         IF(OR('Dados da OS'!$D$8=Parâmetros!$B$5,'Dados da OS'!$D$8=Parâmetros!$B$6),"-"))))</f>
        <v>-</v>
      </c>
      <c r="P233" s="59" t="str">
        <f xml:space="preserve">
IF(OR(ISBLANK(B233),ISBLANK(C233),B233="N/A",ISBLANK('Dados da OS'!$D$8)),"",
   IF(OR('Dados da OS'!$D$8=Parâmetros!$B$3,'Dados da OS'!$D$8=Parâmetros!$B$4),
      IF(OR(AND(B233="INM",N233&lt;&gt;"VF"),AND(N233="VF",B233&lt;&gt;"INM")),"",
        IF(AND(B233="INM",N233="VF"),IF(ISBLANK(H233),"",M233*H233),
        IF('Dados da OS'!$D$8=Parâmetros!$B$4,
           IF(OR(B233="CE",B233="EE"),4,IF(B233="SE",5,IF(B233="ALI",7,IF(B233="AIE",5,"")))),
        IF('Dados da OS'!$D$8=Parâmetros!$B$3,
           IF(OR(ISBLANK(D233),ISBLANK(F233)),"",
              IF(B233="ALI",IF(L233="L",7,IF(L233="A",10,15)),
                 IF(B233="AIE",IF(L233="L",5,IF(L233="A",7,10)),
                    IF(B233="SE",IF(L233="L",4,IF(L233="A",5,7)),
                       IF(OR(B233="EE",B233="CE"),IF(L233="L",3,IF(L233="A",4,6)),""))))))))),
   IF('Dados da OS'!$D$8=Parâmetros!$B$5,
      IF(OR(AND(B233="INM",N233&lt;&gt;"VF"),AND(N233="VF",B233&lt;&gt;"INM")),"",
         IF(B233="INM",IF(N233="VF",M233*H233,""),
            IF(B233="PE",4.6,
            IF(B233="AL",7,"")))),
   IF('Dados da OS'!$D$8=Parâmetros!$B$6,
      IF(B233="ALI",35,IF(B233="AIE",15,"")),""))
    )
)</f>
        <v/>
      </c>
      <c r="Q233" s="60" t="str">
        <f t="shared" si="25"/>
        <v/>
      </c>
      <c r="R233" s="61"/>
      <c r="S233" s="62"/>
      <c r="T233" s="80" t="s">
        <v>21</v>
      </c>
      <c r="U233" s="81"/>
      <c r="V233" s="99"/>
      <c r="W233" s="55"/>
      <c r="X233" s="55"/>
      <c r="Y233" s="56"/>
      <c r="Z233" s="55"/>
      <c r="AA233" s="56"/>
      <c r="AB233" s="55"/>
      <c r="AC233" s="57" t="str">
        <f t="shared" si="26"/>
        <v/>
      </c>
      <c r="AD233" s="57" t="str">
        <f t="shared" si="27"/>
        <v/>
      </c>
      <c r="AE233" s="57" t="str">
        <f xml:space="preserve">
IF(OR('Dados da OS'!$D$8=Parâmetros!$B$3,'Dados da OS'!$D$8=Parâmetros!$B$4),
  IF(OR(ISBLANK(X233),ISBLANK(Z233)),
     IF(OR(V233="ALI",V233="AIE"),"L",IF(ISBLANK(V233),"","A")),
     IF(V233="EE",IF(Z233&gt;=3,IF(X233&gt;=5,"H","A"),
     IF(Z233&gt;=2,IF(X233&gt;=16,"H",IF(X233&lt;=4,"L","A")),IF(X233&lt;=15,"L","A"))),
     IF(OR(V233="SE",V233="CE"),IF(Z233&gt;=4,IF(X233&gt;=6,"H","A"),IF(Z233&gt;=2,IF(X233&gt;=20,"H",IF(X233&lt;=5,"L","A")),IF(X233&lt;=19,"L","A"))),
     IF(OR(V233="ALI",V233="AIE"),IF(Z233&gt;=6,IF(X233&gt;=20,"H","A"),IF(Z233&gt;=2,IF(X233&gt;=51,"H",IF(X233&lt;=19,"L","A")),IF(X233&lt;=50,"L","A"))))))),
IF('Dados da OS'!$D$8=Parâmetros!$B$6,"Indicativa",
IF('Dados da OS'!$D$8=Parâmetros!$B$5,"PFS","")))</f>
        <v/>
      </c>
      <c r="AF233" s="57">
        <f>IFERROR(VLOOKUP(W233,'Fatores de Impacto e INMs'!$A$3:$D$32,3,0),1)</f>
        <v>1</v>
      </c>
      <c r="AG233" s="57">
        <f>IFERROR(VLOOKUP(W233,'Fatores de Impacto e INMs'!$A$3:$E$32,5,0),1)</f>
        <v>1</v>
      </c>
      <c r="AH233" s="82" t="str">
        <f xml:space="preserve">
IF(OR('Dados da OS'!$D$8="Selecione o tipo da contagem",ISBLANK('Dados da OS'!$D$8),V233="INM",V233="N/A",ISBLANK(V233),ISBLANK(W233),AG233="VF"),"-",
   IF('Dados da OS'!$D$8=Parâmetros!$B$3,
      IF(OR(ISBLANK(X233),ISBLANK(Z233)),"-",
         IF(AE233="L","Baixa",IF(AE233="A","Média",IF(AE233="H","Alta","-")))),
      IF('Dados da OS'!$D$8=Parâmetros!$B$4,
         IF(OR(V233="ALI",V233="AIE"),"Baixa",IF(OR(V233="EE",V233="SE",V233="CE"),"Média","-")),
         IF(OR('Dados da OS'!$D$8=Parâmetros!$B$5,'Dados da OS'!$D$8=Parâmetros!$B$6),"-"))))</f>
        <v>-</v>
      </c>
      <c r="AI233" s="83" t="str">
        <f xml:space="preserve">
IF(OR(ISBLANK(V233),ISBLANK(U233),ISBLANK(W233),V233="N/A",ISBLANK('Dados da OS'!$D$8)),"",
   IF(OR('Dados da OS'!$D$8=Parâmetros!$B$3,'Dados da OS'!$D$8=Parâmetros!$B$4),
      IF(OR(AND(V233="INM",AG233&lt;&gt;"VF"),AND(AG233="VF",V233&lt;&gt;"INM")),"",
        IF(AND(V233="INM",AG233="VF"),IF(ISBLANK(AB233),"",AF233*AB233),
        IF('Dados da OS'!$D$8=Parâmetros!$B$4,
           IF(OR(V233="CE",V233="EE"),4,IF(V233="SE",5,IF(V233="ALI",7,IF(V233="AIE",5,"")))),
        IF('Dados da OS'!$D$8=Parâmetros!$B$3,
           IF(OR(ISBLANK(X233),ISBLANK(Z233)),"",
              IF(V233="ALI",IF(AE233="L",7,IF(AE233="A",10,15)),
                 IF(V233="AIE",IF(AE233="L",5,IF(AE233="A",7,10)),
                    IF(V233="SE",IF(AE233="L",4,IF(AE233="A",5,7)),
                       IF(OR(V233="EE",V233="CE"),IF(AE233="L",3,IF(AE233="A",4,6)),""))))))))),
   IF('Dados da OS'!$D$8=Parâmetros!$B$5,
      IF(OR(AND(V233="INM",AG233&lt;&gt;"VF"),AND(AG233="VF",V233&lt;&gt;"INM")),"",
         IF(V233="INM",IF(AG233="VF",AF233*AB233,""),
            IF(V233="PE",4.6,
            IF(V233="AL",7,"")))),
   IF('Dados da OS'!$D$8=Parâmetros!$B$6,
      IF(V233="ALI",35,IF(V233="AIE",15,"")),""))
    )
)</f>
        <v/>
      </c>
      <c r="AJ233" s="82" t="str">
        <f t="shared" si="28"/>
        <v/>
      </c>
      <c r="AK233" s="84"/>
      <c r="AL233" s="85" t="s">
        <v>21</v>
      </c>
      <c r="AM233" s="86"/>
      <c r="AN233" s="85"/>
      <c r="AO233" s="87"/>
      <c r="AP233" s="85"/>
      <c r="AQ233" s="86"/>
      <c r="AR233" s="85"/>
    </row>
    <row r="234" spans="1:44" ht="15.75" customHeight="1">
      <c r="A234" s="54"/>
      <c r="B234" s="100"/>
      <c r="C234" s="55"/>
      <c r="D234" s="55"/>
      <c r="E234" s="56"/>
      <c r="F234" s="55"/>
      <c r="G234" s="56"/>
      <c r="H234" s="55"/>
      <c r="I234" s="64"/>
      <c r="J234" s="57" t="str">
        <f t="shared" si="23"/>
        <v/>
      </c>
      <c r="K234" s="57" t="str">
        <f t="shared" si="24"/>
        <v/>
      </c>
      <c r="L234" s="57" t="str">
        <f xml:space="preserve">
IF(OR('Dados da OS'!$D$8=Parâmetros!$B$3,'Dados da OS'!$D$8=Parâmetros!$B$4),
  IF(OR(ISBLANK(D234),ISBLANK(F234)),
     IF(OR(B234="ALI",B234="AIE"),"L",IF(ISBLANK(B234),"","A")),
     IF(B234="EE",IF(F234&gt;=3,IF(D234&gt;=5,"H","A"),
     IF(F234&gt;=2,IF(D234&gt;=16,"H",IF(D234&lt;=4,"L","A")),IF(D234&lt;=15,"L","A"))),
     IF(OR(B234="SE",B234="CE"),IF(F234&gt;=4,IF(D234&gt;=6,"H","A"),IF(F234&gt;=2,IF(D234&gt;=20,"H",IF(D234&lt;=5,"L","A")),IF(D234&lt;=19,"L","A"))),
     IF(OR(B234="ALI",B234="AIE"),IF(F234&gt;=6,IF(D234&gt;=20,"H","A"),IF(F234&gt;=2,IF(D234&gt;=51,"H",IF(D234&lt;=19,"L","A")),IF(D234&lt;=50,"L","A"))))))),
IF('Dados da OS'!$D$8=Parâmetros!$B$6,"Indicativa",
IF('Dados da OS'!$D$8=Parâmetros!$B$5,"PFS","")))</f>
        <v/>
      </c>
      <c r="M234" s="57">
        <f>IFERROR(VLOOKUP(C234,'Fatores de Impacto e INMs'!$A$3:$D$32,3,0),1)</f>
        <v>1</v>
      </c>
      <c r="N234" s="57">
        <f>IFERROR(VLOOKUP(C234,'Fatores de Impacto e INMs'!$A$3:$E$32,5,0),1)</f>
        <v>1</v>
      </c>
      <c r="O234" s="63" t="str">
        <f xml:space="preserve">
IF(OR('Dados da OS'!$D$8="Selecione o tipo da contagem",ISBLANK('Dados da OS'!$D$8),B234="INM",B234="N/A",ISBLANK(B234),ISBLANK(C234),N234="VF"),"-",
   IF('Dados da OS'!$D$8=Parâmetros!$B$3,
      IF(OR(ISBLANK(D234),ISBLANK(F234)),"-",
         IF(L234="L","Baixa",IF(L234="A","Média",IF(L234="H","Alta","-")))),
      IF('Dados da OS'!$D$8=Parâmetros!$B$4,
         IF(OR(B234="ALI",B234="AIE"),"Baixa",IF(OR(B234="EE",B234="SE",B234="CE"),"Média","-")),
         IF(OR('Dados da OS'!$D$8=Parâmetros!$B$5,'Dados da OS'!$D$8=Parâmetros!$B$6),"-"))))</f>
        <v>-</v>
      </c>
      <c r="P234" s="59" t="str">
        <f xml:space="preserve">
IF(OR(ISBLANK(B234),ISBLANK(C234),B234="N/A",ISBLANK('Dados da OS'!$D$8)),"",
   IF(OR('Dados da OS'!$D$8=Parâmetros!$B$3,'Dados da OS'!$D$8=Parâmetros!$B$4),
      IF(OR(AND(B234="INM",N234&lt;&gt;"VF"),AND(N234="VF",B234&lt;&gt;"INM")),"",
        IF(AND(B234="INM",N234="VF"),IF(ISBLANK(H234),"",M234*H234),
        IF('Dados da OS'!$D$8=Parâmetros!$B$4,
           IF(OR(B234="CE",B234="EE"),4,IF(B234="SE",5,IF(B234="ALI",7,IF(B234="AIE",5,"")))),
        IF('Dados da OS'!$D$8=Parâmetros!$B$3,
           IF(OR(ISBLANK(D234),ISBLANK(F234)),"",
              IF(B234="ALI",IF(L234="L",7,IF(L234="A",10,15)),
                 IF(B234="AIE",IF(L234="L",5,IF(L234="A",7,10)),
                    IF(B234="SE",IF(L234="L",4,IF(L234="A",5,7)),
                       IF(OR(B234="EE",B234="CE"),IF(L234="L",3,IF(L234="A",4,6)),""))))))))),
   IF('Dados da OS'!$D$8=Parâmetros!$B$5,
      IF(OR(AND(B234="INM",N234&lt;&gt;"VF"),AND(N234="VF",B234&lt;&gt;"INM")),"",
         IF(B234="INM",IF(N234="VF",M234*H234,""),
            IF(B234="PE",4.6,
            IF(B234="AL",7,"")))),
   IF('Dados da OS'!$D$8=Parâmetros!$B$6,
      IF(B234="ALI",35,IF(B234="AIE",15,"")),""))
    )
)</f>
        <v/>
      </c>
      <c r="Q234" s="60" t="str">
        <f t="shared" si="25"/>
        <v/>
      </c>
      <c r="R234" s="61"/>
      <c r="S234" s="62"/>
      <c r="T234" s="80" t="s">
        <v>21</v>
      </c>
      <c r="U234" s="81"/>
      <c r="V234" s="99"/>
      <c r="W234" s="55"/>
      <c r="X234" s="55"/>
      <c r="Y234" s="56"/>
      <c r="Z234" s="55"/>
      <c r="AA234" s="56"/>
      <c r="AB234" s="55"/>
      <c r="AC234" s="57" t="str">
        <f t="shared" si="26"/>
        <v/>
      </c>
      <c r="AD234" s="57" t="str">
        <f t="shared" si="27"/>
        <v/>
      </c>
      <c r="AE234" s="57" t="str">
        <f xml:space="preserve">
IF(OR('Dados da OS'!$D$8=Parâmetros!$B$3,'Dados da OS'!$D$8=Parâmetros!$B$4),
  IF(OR(ISBLANK(X234),ISBLANK(Z234)),
     IF(OR(V234="ALI",V234="AIE"),"L",IF(ISBLANK(V234),"","A")),
     IF(V234="EE",IF(Z234&gt;=3,IF(X234&gt;=5,"H","A"),
     IF(Z234&gt;=2,IF(X234&gt;=16,"H",IF(X234&lt;=4,"L","A")),IF(X234&lt;=15,"L","A"))),
     IF(OR(V234="SE",V234="CE"),IF(Z234&gt;=4,IF(X234&gt;=6,"H","A"),IF(Z234&gt;=2,IF(X234&gt;=20,"H",IF(X234&lt;=5,"L","A")),IF(X234&lt;=19,"L","A"))),
     IF(OR(V234="ALI",V234="AIE"),IF(Z234&gt;=6,IF(X234&gt;=20,"H","A"),IF(Z234&gt;=2,IF(X234&gt;=51,"H",IF(X234&lt;=19,"L","A")),IF(X234&lt;=50,"L","A"))))))),
IF('Dados da OS'!$D$8=Parâmetros!$B$6,"Indicativa",
IF('Dados da OS'!$D$8=Parâmetros!$B$5,"PFS","")))</f>
        <v/>
      </c>
      <c r="AF234" s="57">
        <f>IFERROR(VLOOKUP(W234,'Fatores de Impacto e INMs'!$A$3:$D$32,3,0),1)</f>
        <v>1</v>
      </c>
      <c r="AG234" s="57">
        <f>IFERROR(VLOOKUP(W234,'Fatores de Impacto e INMs'!$A$3:$E$32,5,0),1)</f>
        <v>1</v>
      </c>
      <c r="AH234" s="82" t="str">
        <f xml:space="preserve">
IF(OR('Dados da OS'!$D$8="Selecione o tipo da contagem",ISBLANK('Dados da OS'!$D$8),V234="INM",V234="N/A",ISBLANK(V234),ISBLANK(W234),AG234="VF"),"-",
   IF('Dados da OS'!$D$8=Parâmetros!$B$3,
      IF(OR(ISBLANK(X234),ISBLANK(Z234)),"-",
         IF(AE234="L","Baixa",IF(AE234="A","Média",IF(AE234="H","Alta","-")))),
      IF('Dados da OS'!$D$8=Parâmetros!$B$4,
         IF(OR(V234="ALI",V234="AIE"),"Baixa",IF(OR(V234="EE",V234="SE",V234="CE"),"Média","-")),
         IF(OR('Dados da OS'!$D$8=Parâmetros!$B$5,'Dados da OS'!$D$8=Parâmetros!$B$6),"-"))))</f>
        <v>-</v>
      </c>
      <c r="AI234" s="83" t="str">
        <f xml:space="preserve">
IF(OR(ISBLANK(V234),ISBLANK(U234),ISBLANK(W234),V234="N/A",ISBLANK('Dados da OS'!$D$8)),"",
   IF(OR('Dados da OS'!$D$8=Parâmetros!$B$3,'Dados da OS'!$D$8=Parâmetros!$B$4),
      IF(OR(AND(V234="INM",AG234&lt;&gt;"VF"),AND(AG234="VF",V234&lt;&gt;"INM")),"",
        IF(AND(V234="INM",AG234="VF"),IF(ISBLANK(AB234),"",AF234*AB234),
        IF('Dados da OS'!$D$8=Parâmetros!$B$4,
           IF(OR(V234="CE",V234="EE"),4,IF(V234="SE",5,IF(V234="ALI",7,IF(V234="AIE",5,"")))),
        IF('Dados da OS'!$D$8=Parâmetros!$B$3,
           IF(OR(ISBLANK(X234),ISBLANK(Z234)),"",
              IF(V234="ALI",IF(AE234="L",7,IF(AE234="A",10,15)),
                 IF(V234="AIE",IF(AE234="L",5,IF(AE234="A",7,10)),
                    IF(V234="SE",IF(AE234="L",4,IF(AE234="A",5,7)),
                       IF(OR(V234="EE",V234="CE"),IF(AE234="L",3,IF(AE234="A",4,6)),""))))))))),
   IF('Dados da OS'!$D$8=Parâmetros!$B$5,
      IF(OR(AND(V234="INM",AG234&lt;&gt;"VF"),AND(AG234="VF",V234&lt;&gt;"INM")),"",
         IF(V234="INM",IF(AG234="VF",AF234*AB234,""),
            IF(V234="PE",4.6,
            IF(V234="AL",7,"")))),
   IF('Dados da OS'!$D$8=Parâmetros!$B$6,
      IF(V234="ALI",35,IF(V234="AIE",15,"")),""))
    )
)</f>
        <v/>
      </c>
      <c r="AJ234" s="82" t="str">
        <f t="shared" si="28"/>
        <v/>
      </c>
      <c r="AK234" s="84"/>
      <c r="AL234" s="85" t="s">
        <v>21</v>
      </c>
      <c r="AM234" s="86"/>
      <c r="AN234" s="85"/>
      <c r="AO234" s="87"/>
      <c r="AP234" s="85"/>
      <c r="AQ234" s="86"/>
      <c r="AR234" s="85"/>
    </row>
    <row r="235" spans="1:44" ht="15.75" customHeight="1">
      <c r="A235" s="54"/>
      <c r="B235" s="100"/>
      <c r="C235" s="55"/>
      <c r="D235" s="55"/>
      <c r="E235" s="56"/>
      <c r="F235" s="55"/>
      <c r="G235" s="56"/>
      <c r="H235" s="55"/>
      <c r="I235" s="64"/>
      <c r="J235" s="57" t="str">
        <f t="shared" si="23"/>
        <v/>
      </c>
      <c r="K235" s="57" t="str">
        <f t="shared" si="24"/>
        <v/>
      </c>
      <c r="L235" s="57" t="str">
        <f xml:space="preserve">
IF(OR('Dados da OS'!$D$8=Parâmetros!$B$3,'Dados da OS'!$D$8=Parâmetros!$B$4),
  IF(OR(ISBLANK(D235),ISBLANK(F235)),
     IF(OR(B235="ALI",B235="AIE"),"L",IF(ISBLANK(B235),"","A")),
     IF(B235="EE",IF(F235&gt;=3,IF(D235&gt;=5,"H","A"),
     IF(F235&gt;=2,IF(D235&gt;=16,"H",IF(D235&lt;=4,"L","A")),IF(D235&lt;=15,"L","A"))),
     IF(OR(B235="SE",B235="CE"),IF(F235&gt;=4,IF(D235&gt;=6,"H","A"),IF(F235&gt;=2,IF(D235&gt;=20,"H",IF(D235&lt;=5,"L","A")),IF(D235&lt;=19,"L","A"))),
     IF(OR(B235="ALI",B235="AIE"),IF(F235&gt;=6,IF(D235&gt;=20,"H","A"),IF(F235&gt;=2,IF(D235&gt;=51,"H",IF(D235&lt;=19,"L","A")),IF(D235&lt;=50,"L","A"))))))),
IF('Dados da OS'!$D$8=Parâmetros!$B$6,"Indicativa",
IF('Dados da OS'!$D$8=Parâmetros!$B$5,"PFS","")))</f>
        <v/>
      </c>
      <c r="M235" s="57">
        <f>IFERROR(VLOOKUP(C235,'Fatores de Impacto e INMs'!$A$3:$D$32,3,0),1)</f>
        <v>1</v>
      </c>
      <c r="N235" s="57">
        <f>IFERROR(VLOOKUP(C235,'Fatores de Impacto e INMs'!$A$3:$E$32,5,0),1)</f>
        <v>1</v>
      </c>
      <c r="O235" s="63" t="str">
        <f xml:space="preserve">
IF(OR('Dados da OS'!$D$8="Selecione o tipo da contagem",ISBLANK('Dados da OS'!$D$8),B235="INM",B235="N/A",ISBLANK(B235),ISBLANK(C235),N235="VF"),"-",
   IF('Dados da OS'!$D$8=Parâmetros!$B$3,
      IF(OR(ISBLANK(D235),ISBLANK(F235)),"-",
         IF(L235="L","Baixa",IF(L235="A","Média",IF(L235="H","Alta","-")))),
      IF('Dados da OS'!$D$8=Parâmetros!$B$4,
         IF(OR(B235="ALI",B235="AIE"),"Baixa",IF(OR(B235="EE",B235="SE",B235="CE"),"Média","-")),
         IF(OR('Dados da OS'!$D$8=Parâmetros!$B$5,'Dados da OS'!$D$8=Parâmetros!$B$6),"-"))))</f>
        <v>-</v>
      </c>
      <c r="P235" s="59" t="str">
        <f xml:space="preserve">
IF(OR(ISBLANK(B235),ISBLANK(C235),B235="N/A",ISBLANK('Dados da OS'!$D$8)),"",
   IF(OR('Dados da OS'!$D$8=Parâmetros!$B$3,'Dados da OS'!$D$8=Parâmetros!$B$4),
      IF(OR(AND(B235="INM",N235&lt;&gt;"VF"),AND(N235="VF",B235&lt;&gt;"INM")),"",
        IF(AND(B235="INM",N235="VF"),IF(ISBLANK(H235),"",M235*H235),
        IF('Dados da OS'!$D$8=Parâmetros!$B$4,
           IF(OR(B235="CE",B235="EE"),4,IF(B235="SE",5,IF(B235="ALI",7,IF(B235="AIE",5,"")))),
        IF('Dados da OS'!$D$8=Parâmetros!$B$3,
           IF(OR(ISBLANK(D235),ISBLANK(F235)),"",
              IF(B235="ALI",IF(L235="L",7,IF(L235="A",10,15)),
                 IF(B235="AIE",IF(L235="L",5,IF(L235="A",7,10)),
                    IF(B235="SE",IF(L235="L",4,IF(L235="A",5,7)),
                       IF(OR(B235="EE",B235="CE"),IF(L235="L",3,IF(L235="A",4,6)),""))))))))),
   IF('Dados da OS'!$D$8=Parâmetros!$B$5,
      IF(OR(AND(B235="INM",N235&lt;&gt;"VF"),AND(N235="VF",B235&lt;&gt;"INM")),"",
         IF(B235="INM",IF(N235="VF",M235*H235,""),
            IF(B235="PE",4.6,
            IF(B235="AL",7,"")))),
   IF('Dados da OS'!$D$8=Parâmetros!$B$6,
      IF(B235="ALI",35,IF(B235="AIE",15,"")),""))
    )
)</f>
        <v/>
      </c>
      <c r="Q235" s="60" t="str">
        <f t="shared" si="25"/>
        <v/>
      </c>
      <c r="R235" s="61"/>
      <c r="S235" s="62"/>
      <c r="T235" s="80" t="s">
        <v>21</v>
      </c>
      <c r="U235" s="81"/>
      <c r="V235" s="99"/>
      <c r="W235" s="55"/>
      <c r="X235" s="55"/>
      <c r="Y235" s="56"/>
      <c r="Z235" s="55"/>
      <c r="AA235" s="56"/>
      <c r="AB235" s="55"/>
      <c r="AC235" s="57" t="str">
        <f t="shared" si="26"/>
        <v/>
      </c>
      <c r="AD235" s="57" t="str">
        <f t="shared" si="27"/>
        <v/>
      </c>
      <c r="AE235" s="57" t="str">
        <f xml:space="preserve">
IF(OR('Dados da OS'!$D$8=Parâmetros!$B$3,'Dados da OS'!$D$8=Parâmetros!$B$4),
  IF(OR(ISBLANK(X235),ISBLANK(Z235)),
     IF(OR(V235="ALI",V235="AIE"),"L",IF(ISBLANK(V235),"","A")),
     IF(V235="EE",IF(Z235&gt;=3,IF(X235&gt;=5,"H","A"),
     IF(Z235&gt;=2,IF(X235&gt;=16,"H",IF(X235&lt;=4,"L","A")),IF(X235&lt;=15,"L","A"))),
     IF(OR(V235="SE",V235="CE"),IF(Z235&gt;=4,IF(X235&gt;=6,"H","A"),IF(Z235&gt;=2,IF(X235&gt;=20,"H",IF(X235&lt;=5,"L","A")),IF(X235&lt;=19,"L","A"))),
     IF(OR(V235="ALI",V235="AIE"),IF(Z235&gt;=6,IF(X235&gt;=20,"H","A"),IF(Z235&gt;=2,IF(X235&gt;=51,"H",IF(X235&lt;=19,"L","A")),IF(X235&lt;=50,"L","A"))))))),
IF('Dados da OS'!$D$8=Parâmetros!$B$6,"Indicativa",
IF('Dados da OS'!$D$8=Parâmetros!$B$5,"PFS","")))</f>
        <v/>
      </c>
      <c r="AF235" s="57">
        <f>IFERROR(VLOOKUP(W235,'Fatores de Impacto e INMs'!$A$3:$D$32,3,0),1)</f>
        <v>1</v>
      </c>
      <c r="AG235" s="57">
        <f>IFERROR(VLOOKUP(W235,'Fatores de Impacto e INMs'!$A$3:$E$32,5,0),1)</f>
        <v>1</v>
      </c>
      <c r="AH235" s="82" t="str">
        <f xml:space="preserve">
IF(OR('Dados da OS'!$D$8="Selecione o tipo da contagem",ISBLANK('Dados da OS'!$D$8),V235="INM",V235="N/A",ISBLANK(V235),ISBLANK(W235),AG235="VF"),"-",
   IF('Dados da OS'!$D$8=Parâmetros!$B$3,
      IF(OR(ISBLANK(X235),ISBLANK(Z235)),"-",
         IF(AE235="L","Baixa",IF(AE235="A","Média",IF(AE235="H","Alta","-")))),
      IF('Dados da OS'!$D$8=Parâmetros!$B$4,
         IF(OR(V235="ALI",V235="AIE"),"Baixa",IF(OR(V235="EE",V235="SE",V235="CE"),"Média","-")),
         IF(OR('Dados da OS'!$D$8=Parâmetros!$B$5,'Dados da OS'!$D$8=Parâmetros!$B$6),"-"))))</f>
        <v>-</v>
      </c>
      <c r="AI235" s="83" t="str">
        <f xml:space="preserve">
IF(OR(ISBLANK(V235),ISBLANK(U235),ISBLANK(W235),V235="N/A",ISBLANK('Dados da OS'!$D$8)),"",
   IF(OR('Dados da OS'!$D$8=Parâmetros!$B$3,'Dados da OS'!$D$8=Parâmetros!$B$4),
      IF(OR(AND(V235="INM",AG235&lt;&gt;"VF"),AND(AG235="VF",V235&lt;&gt;"INM")),"",
        IF(AND(V235="INM",AG235="VF"),IF(ISBLANK(AB235),"",AF235*AB235),
        IF('Dados da OS'!$D$8=Parâmetros!$B$4,
           IF(OR(V235="CE",V235="EE"),4,IF(V235="SE",5,IF(V235="ALI",7,IF(V235="AIE",5,"")))),
        IF('Dados da OS'!$D$8=Parâmetros!$B$3,
           IF(OR(ISBLANK(X235),ISBLANK(Z235)),"",
              IF(V235="ALI",IF(AE235="L",7,IF(AE235="A",10,15)),
                 IF(V235="AIE",IF(AE235="L",5,IF(AE235="A",7,10)),
                    IF(V235="SE",IF(AE235="L",4,IF(AE235="A",5,7)),
                       IF(OR(V235="EE",V235="CE"),IF(AE235="L",3,IF(AE235="A",4,6)),""))))))))),
   IF('Dados da OS'!$D$8=Parâmetros!$B$5,
      IF(OR(AND(V235="INM",AG235&lt;&gt;"VF"),AND(AG235="VF",V235&lt;&gt;"INM")),"",
         IF(V235="INM",IF(AG235="VF",AF235*AB235,""),
            IF(V235="PE",4.6,
            IF(V235="AL",7,"")))),
   IF('Dados da OS'!$D$8=Parâmetros!$B$6,
      IF(V235="ALI",35,IF(V235="AIE",15,"")),""))
    )
)</f>
        <v/>
      </c>
      <c r="AJ235" s="82" t="str">
        <f t="shared" si="28"/>
        <v/>
      </c>
      <c r="AK235" s="84"/>
      <c r="AL235" s="85" t="s">
        <v>21</v>
      </c>
      <c r="AM235" s="86"/>
      <c r="AN235" s="85"/>
      <c r="AO235" s="87"/>
      <c r="AP235" s="85"/>
      <c r="AQ235" s="86"/>
      <c r="AR235" s="85"/>
    </row>
    <row r="236" spans="1:44" ht="15.75" customHeight="1">
      <c r="A236" s="54"/>
      <c r="B236" s="100"/>
      <c r="C236" s="55"/>
      <c r="D236" s="55"/>
      <c r="E236" s="56"/>
      <c r="F236" s="55"/>
      <c r="G236" s="56"/>
      <c r="H236" s="55"/>
      <c r="I236" s="64"/>
      <c r="J236" s="57" t="str">
        <f t="shared" si="23"/>
        <v/>
      </c>
      <c r="K236" s="57" t="str">
        <f t="shared" si="24"/>
        <v/>
      </c>
      <c r="L236" s="57" t="str">
        <f xml:space="preserve">
IF(OR('Dados da OS'!$D$8=Parâmetros!$B$3,'Dados da OS'!$D$8=Parâmetros!$B$4),
  IF(OR(ISBLANK(D236),ISBLANK(F236)),
     IF(OR(B236="ALI",B236="AIE"),"L",IF(ISBLANK(B236),"","A")),
     IF(B236="EE",IF(F236&gt;=3,IF(D236&gt;=5,"H","A"),
     IF(F236&gt;=2,IF(D236&gt;=16,"H",IF(D236&lt;=4,"L","A")),IF(D236&lt;=15,"L","A"))),
     IF(OR(B236="SE",B236="CE"),IF(F236&gt;=4,IF(D236&gt;=6,"H","A"),IF(F236&gt;=2,IF(D236&gt;=20,"H",IF(D236&lt;=5,"L","A")),IF(D236&lt;=19,"L","A"))),
     IF(OR(B236="ALI",B236="AIE"),IF(F236&gt;=6,IF(D236&gt;=20,"H","A"),IF(F236&gt;=2,IF(D236&gt;=51,"H",IF(D236&lt;=19,"L","A")),IF(D236&lt;=50,"L","A"))))))),
IF('Dados da OS'!$D$8=Parâmetros!$B$6,"Indicativa",
IF('Dados da OS'!$D$8=Parâmetros!$B$5,"PFS","")))</f>
        <v/>
      </c>
      <c r="M236" s="57">
        <f>IFERROR(VLOOKUP(C236,'Fatores de Impacto e INMs'!$A$3:$D$32,3,0),1)</f>
        <v>1</v>
      </c>
      <c r="N236" s="57">
        <f>IFERROR(VLOOKUP(C236,'Fatores de Impacto e INMs'!$A$3:$E$32,5,0),1)</f>
        <v>1</v>
      </c>
      <c r="O236" s="63" t="str">
        <f xml:space="preserve">
IF(OR('Dados da OS'!$D$8="Selecione o tipo da contagem",ISBLANK('Dados da OS'!$D$8),B236="INM",B236="N/A",ISBLANK(B236),ISBLANK(C236),N236="VF"),"-",
   IF('Dados da OS'!$D$8=Parâmetros!$B$3,
      IF(OR(ISBLANK(D236),ISBLANK(F236)),"-",
         IF(L236="L","Baixa",IF(L236="A","Média",IF(L236="H","Alta","-")))),
      IF('Dados da OS'!$D$8=Parâmetros!$B$4,
         IF(OR(B236="ALI",B236="AIE"),"Baixa",IF(OR(B236="EE",B236="SE",B236="CE"),"Média","-")),
         IF(OR('Dados da OS'!$D$8=Parâmetros!$B$5,'Dados da OS'!$D$8=Parâmetros!$B$6),"-"))))</f>
        <v>-</v>
      </c>
      <c r="P236" s="59" t="str">
        <f xml:space="preserve">
IF(OR(ISBLANK(B236),ISBLANK(C236),B236="N/A",ISBLANK('Dados da OS'!$D$8)),"",
   IF(OR('Dados da OS'!$D$8=Parâmetros!$B$3,'Dados da OS'!$D$8=Parâmetros!$B$4),
      IF(OR(AND(B236="INM",N236&lt;&gt;"VF"),AND(N236="VF",B236&lt;&gt;"INM")),"",
        IF(AND(B236="INM",N236="VF"),IF(ISBLANK(H236),"",M236*H236),
        IF('Dados da OS'!$D$8=Parâmetros!$B$4,
           IF(OR(B236="CE",B236="EE"),4,IF(B236="SE",5,IF(B236="ALI",7,IF(B236="AIE",5,"")))),
        IF('Dados da OS'!$D$8=Parâmetros!$B$3,
           IF(OR(ISBLANK(D236),ISBLANK(F236)),"",
              IF(B236="ALI",IF(L236="L",7,IF(L236="A",10,15)),
                 IF(B236="AIE",IF(L236="L",5,IF(L236="A",7,10)),
                    IF(B236="SE",IF(L236="L",4,IF(L236="A",5,7)),
                       IF(OR(B236="EE",B236="CE"),IF(L236="L",3,IF(L236="A",4,6)),""))))))))),
   IF('Dados da OS'!$D$8=Parâmetros!$B$5,
      IF(OR(AND(B236="INM",N236&lt;&gt;"VF"),AND(N236="VF",B236&lt;&gt;"INM")),"",
         IF(B236="INM",IF(N236="VF",M236*H236,""),
            IF(B236="PE",4.6,
            IF(B236="AL",7,"")))),
   IF('Dados da OS'!$D$8=Parâmetros!$B$6,
      IF(B236="ALI",35,IF(B236="AIE",15,"")),""))
    )
)</f>
        <v/>
      </c>
      <c r="Q236" s="60" t="str">
        <f t="shared" si="25"/>
        <v/>
      </c>
      <c r="R236" s="61"/>
      <c r="S236" s="62"/>
      <c r="T236" s="80" t="s">
        <v>21</v>
      </c>
      <c r="U236" s="81"/>
      <c r="V236" s="99"/>
      <c r="W236" s="55"/>
      <c r="X236" s="55"/>
      <c r="Y236" s="56"/>
      <c r="Z236" s="55"/>
      <c r="AA236" s="56"/>
      <c r="AB236" s="55"/>
      <c r="AC236" s="57" t="str">
        <f t="shared" si="26"/>
        <v/>
      </c>
      <c r="AD236" s="57" t="str">
        <f t="shared" si="27"/>
        <v/>
      </c>
      <c r="AE236" s="57" t="str">
        <f xml:space="preserve">
IF(OR('Dados da OS'!$D$8=Parâmetros!$B$3,'Dados da OS'!$D$8=Parâmetros!$B$4),
  IF(OR(ISBLANK(X236),ISBLANK(Z236)),
     IF(OR(V236="ALI",V236="AIE"),"L",IF(ISBLANK(V236),"","A")),
     IF(V236="EE",IF(Z236&gt;=3,IF(X236&gt;=5,"H","A"),
     IF(Z236&gt;=2,IF(X236&gt;=16,"H",IF(X236&lt;=4,"L","A")),IF(X236&lt;=15,"L","A"))),
     IF(OR(V236="SE",V236="CE"),IF(Z236&gt;=4,IF(X236&gt;=6,"H","A"),IF(Z236&gt;=2,IF(X236&gt;=20,"H",IF(X236&lt;=5,"L","A")),IF(X236&lt;=19,"L","A"))),
     IF(OR(V236="ALI",V236="AIE"),IF(Z236&gt;=6,IF(X236&gt;=20,"H","A"),IF(Z236&gt;=2,IF(X236&gt;=51,"H",IF(X236&lt;=19,"L","A")),IF(X236&lt;=50,"L","A"))))))),
IF('Dados da OS'!$D$8=Parâmetros!$B$6,"Indicativa",
IF('Dados da OS'!$D$8=Parâmetros!$B$5,"PFS","")))</f>
        <v/>
      </c>
      <c r="AF236" s="57">
        <f>IFERROR(VLOOKUP(W236,'Fatores de Impacto e INMs'!$A$3:$D$32,3,0),1)</f>
        <v>1</v>
      </c>
      <c r="AG236" s="57">
        <f>IFERROR(VLOOKUP(W236,'Fatores de Impacto e INMs'!$A$3:$E$32,5,0),1)</f>
        <v>1</v>
      </c>
      <c r="AH236" s="82" t="str">
        <f xml:space="preserve">
IF(OR('Dados da OS'!$D$8="Selecione o tipo da contagem",ISBLANK('Dados da OS'!$D$8),V236="INM",V236="N/A",ISBLANK(V236),ISBLANK(W236),AG236="VF"),"-",
   IF('Dados da OS'!$D$8=Parâmetros!$B$3,
      IF(OR(ISBLANK(X236),ISBLANK(Z236)),"-",
         IF(AE236="L","Baixa",IF(AE236="A","Média",IF(AE236="H","Alta","-")))),
      IF('Dados da OS'!$D$8=Parâmetros!$B$4,
         IF(OR(V236="ALI",V236="AIE"),"Baixa",IF(OR(V236="EE",V236="SE",V236="CE"),"Média","-")),
         IF(OR('Dados da OS'!$D$8=Parâmetros!$B$5,'Dados da OS'!$D$8=Parâmetros!$B$6),"-"))))</f>
        <v>-</v>
      </c>
      <c r="AI236" s="83" t="str">
        <f xml:space="preserve">
IF(OR(ISBLANK(V236),ISBLANK(U236),ISBLANK(W236),V236="N/A",ISBLANK('Dados da OS'!$D$8)),"",
   IF(OR('Dados da OS'!$D$8=Parâmetros!$B$3,'Dados da OS'!$D$8=Parâmetros!$B$4),
      IF(OR(AND(V236="INM",AG236&lt;&gt;"VF"),AND(AG236="VF",V236&lt;&gt;"INM")),"",
        IF(AND(V236="INM",AG236="VF"),IF(ISBLANK(AB236),"",AF236*AB236),
        IF('Dados da OS'!$D$8=Parâmetros!$B$4,
           IF(OR(V236="CE",V236="EE"),4,IF(V236="SE",5,IF(V236="ALI",7,IF(V236="AIE",5,"")))),
        IF('Dados da OS'!$D$8=Parâmetros!$B$3,
           IF(OR(ISBLANK(X236),ISBLANK(Z236)),"",
              IF(V236="ALI",IF(AE236="L",7,IF(AE236="A",10,15)),
                 IF(V236="AIE",IF(AE236="L",5,IF(AE236="A",7,10)),
                    IF(V236="SE",IF(AE236="L",4,IF(AE236="A",5,7)),
                       IF(OR(V236="EE",V236="CE"),IF(AE236="L",3,IF(AE236="A",4,6)),""))))))))),
   IF('Dados da OS'!$D$8=Parâmetros!$B$5,
      IF(OR(AND(V236="INM",AG236&lt;&gt;"VF"),AND(AG236="VF",V236&lt;&gt;"INM")),"",
         IF(V236="INM",IF(AG236="VF",AF236*AB236,""),
            IF(V236="PE",4.6,
            IF(V236="AL",7,"")))),
   IF('Dados da OS'!$D$8=Parâmetros!$B$6,
      IF(V236="ALI",35,IF(V236="AIE",15,"")),""))
    )
)</f>
        <v/>
      </c>
      <c r="AJ236" s="82" t="str">
        <f t="shared" si="28"/>
        <v/>
      </c>
      <c r="AK236" s="84"/>
      <c r="AL236" s="85" t="s">
        <v>21</v>
      </c>
      <c r="AM236" s="86"/>
      <c r="AN236" s="85"/>
      <c r="AO236" s="87"/>
      <c r="AP236" s="85"/>
      <c r="AQ236" s="86"/>
      <c r="AR236" s="85"/>
    </row>
    <row r="237" spans="1:44" ht="15.75" customHeight="1">
      <c r="A237" s="54"/>
      <c r="B237" s="100"/>
      <c r="C237" s="55"/>
      <c r="D237" s="55"/>
      <c r="E237" s="56"/>
      <c r="F237" s="55"/>
      <c r="G237" s="56"/>
      <c r="H237" s="55"/>
      <c r="I237" s="64"/>
      <c r="J237" s="57" t="str">
        <f t="shared" si="23"/>
        <v/>
      </c>
      <c r="K237" s="57" t="str">
        <f t="shared" si="24"/>
        <v/>
      </c>
      <c r="L237" s="57" t="str">
        <f xml:space="preserve">
IF(OR('Dados da OS'!$D$8=Parâmetros!$B$3,'Dados da OS'!$D$8=Parâmetros!$B$4),
  IF(OR(ISBLANK(D237),ISBLANK(F237)),
     IF(OR(B237="ALI",B237="AIE"),"L",IF(ISBLANK(B237),"","A")),
     IF(B237="EE",IF(F237&gt;=3,IF(D237&gt;=5,"H","A"),
     IF(F237&gt;=2,IF(D237&gt;=16,"H",IF(D237&lt;=4,"L","A")),IF(D237&lt;=15,"L","A"))),
     IF(OR(B237="SE",B237="CE"),IF(F237&gt;=4,IF(D237&gt;=6,"H","A"),IF(F237&gt;=2,IF(D237&gt;=20,"H",IF(D237&lt;=5,"L","A")),IF(D237&lt;=19,"L","A"))),
     IF(OR(B237="ALI",B237="AIE"),IF(F237&gt;=6,IF(D237&gt;=20,"H","A"),IF(F237&gt;=2,IF(D237&gt;=51,"H",IF(D237&lt;=19,"L","A")),IF(D237&lt;=50,"L","A"))))))),
IF('Dados da OS'!$D$8=Parâmetros!$B$6,"Indicativa",
IF('Dados da OS'!$D$8=Parâmetros!$B$5,"PFS","")))</f>
        <v/>
      </c>
      <c r="M237" s="57">
        <f>IFERROR(VLOOKUP(C237,'Fatores de Impacto e INMs'!$A$3:$D$32,3,0),1)</f>
        <v>1</v>
      </c>
      <c r="N237" s="57">
        <f>IFERROR(VLOOKUP(C237,'Fatores de Impacto e INMs'!$A$3:$E$32,5,0),1)</f>
        <v>1</v>
      </c>
      <c r="O237" s="63" t="str">
        <f xml:space="preserve">
IF(OR('Dados da OS'!$D$8="Selecione o tipo da contagem",ISBLANK('Dados da OS'!$D$8),B237="INM",B237="N/A",ISBLANK(B237),ISBLANK(C237),N237="VF"),"-",
   IF('Dados da OS'!$D$8=Parâmetros!$B$3,
      IF(OR(ISBLANK(D237),ISBLANK(F237)),"-",
         IF(L237="L","Baixa",IF(L237="A","Média",IF(L237="H","Alta","-")))),
      IF('Dados da OS'!$D$8=Parâmetros!$B$4,
         IF(OR(B237="ALI",B237="AIE"),"Baixa",IF(OR(B237="EE",B237="SE",B237="CE"),"Média","-")),
         IF(OR('Dados da OS'!$D$8=Parâmetros!$B$5,'Dados da OS'!$D$8=Parâmetros!$B$6),"-"))))</f>
        <v>-</v>
      </c>
      <c r="P237" s="59" t="str">
        <f xml:space="preserve">
IF(OR(ISBLANK(B237),ISBLANK(C237),B237="N/A",ISBLANK('Dados da OS'!$D$8)),"",
   IF(OR('Dados da OS'!$D$8=Parâmetros!$B$3,'Dados da OS'!$D$8=Parâmetros!$B$4),
      IF(OR(AND(B237="INM",N237&lt;&gt;"VF"),AND(N237="VF",B237&lt;&gt;"INM")),"",
        IF(AND(B237="INM",N237="VF"),IF(ISBLANK(H237),"",M237*H237),
        IF('Dados da OS'!$D$8=Parâmetros!$B$4,
           IF(OR(B237="CE",B237="EE"),4,IF(B237="SE",5,IF(B237="ALI",7,IF(B237="AIE",5,"")))),
        IF('Dados da OS'!$D$8=Parâmetros!$B$3,
           IF(OR(ISBLANK(D237),ISBLANK(F237)),"",
              IF(B237="ALI",IF(L237="L",7,IF(L237="A",10,15)),
                 IF(B237="AIE",IF(L237="L",5,IF(L237="A",7,10)),
                    IF(B237="SE",IF(L237="L",4,IF(L237="A",5,7)),
                       IF(OR(B237="EE",B237="CE"),IF(L237="L",3,IF(L237="A",4,6)),""))))))))),
   IF('Dados da OS'!$D$8=Parâmetros!$B$5,
      IF(OR(AND(B237="INM",N237&lt;&gt;"VF"),AND(N237="VF",B237&lt;&gt;"INM")),"",
         IF(B237="INM",IF(N237="VF",M237*H237,""),
            IF(B237="PE",4.6,
            IF(B237="AL",7,"")))),
   IF('Dados da OS'!$D$8=Parâmetros!$B$6,
      IF(B237="ALI",35,IF(B237="AIE",15,"")),""))
    )
)</f>
        <v/>
      </c>
      <c r="Q237" s="60" t="str">
        <f t="shared" si="25"/>
        <v/>
      </c>
      <c r="R237" s="61"/>
      <c r="S237" s="62"/>
      <c r="T237" s="80" t="s">
        <v>21</v>
      </c>
      <c r="U237" s="81"/>
      <c r="V237" s="99"/>
      <c r="W237" s="55"/>
      <c r="X237" s="55"/>
      <c r="Y237" s="56"/>
      <c r="Z237" s="55"/>
      <c r="AA237" s="56"/>
      <c r="AB237" s="55"/>
      <c r="AC237" s="57" t="str">
        <f t="shared" si="26"/>
        <v/>
      </c>
      <c r="AD237" s="57" t="str">
        <f t="shared" si="27"/>
        <v/>
      </c>
      <c r="AE237" s="57" t="str">
        <f xml:space="preserve">
IF(OR('Dados da OS'!$D$8=Parâmetros!$B$3,'Dados da OS'!$D$8=Parâmetros!$B$4),
  IF(OR(ISBLANK(X237),ISBLANK(Z237)),
     IF(OR(V237="ALI",V237="AIE"),"L",IF(ISBLANK(V237),"","A")),
     IF(V237="EE",IF(Z237&gt;=3,IF(X237&gt;=5,"H","A"),
     IF(Z237&gt;=2,IF(X237&gt;=16,"H",IF(X237&lt;=4,"L","A")),IF(X237&lt;=15,"L","A"))),
     IF(OR(V237="SE",V237="CE"),IF(Z237&gt;=4,IF(X237&gt;=6,"H","A"),IF(Z237&gt;=2,IF(X237&gt;=20,"H",IF(X237&lt;=5,"L","A")),IF(X237&lt;=19,"L","A"))),
     IF(OR(V237="ALI",V237="AIE"),IF(Z237&gt;=6,IF(X237&gt;=20,"H","A"),IF(Z237&gt;=2,IF(X237&gt;=51,"H",IF(X237&lt;=19,"L","A")),IF(X237&lt;=50,"L","A"))))))),
IF('Dados da OS'!$D$8=Parâmetros!$B$6,"Indicativa",
IF('Dados da OS'!$D$8=Parâmetros!$B$5,"PFS","")))</f>
        <v/>
      </c>
      <c r="AF237" s="57">
        <f>IFERROR(VLOOKUP(W237,'Fatores de Impacto e INMs'!$A$3:$D$32,3,0),1)</f>
        <v>1</v>
      </c>
      <c r="AG237" s="57">
        <f>IFERROR(VLOOKUP(W237,'Fatores de Impacto e INMs'!$A$3:$E$32,5,0),1)</f>
        <v>1</v>
      </c>
      <c r="AH237" s="82" t="str">
        <f xml:space="preserve">
IF(OR('Dados da OS'!$D$8="Selecione o tipo da contagem",ISBLANK('Dados da OS'!$D$8),V237="INM",V237="N/A",ISBLANK(V237),ISBLANK(W237),AG237="VF"),"-",
   IF('Dados da OS'!$D$8=Parâmetros!$B$3,
      IF(OR(ISBLANK(X237),ISBLANK(Z237)),"-",
         IF(AE237="L","Baixa",IF(AE237="A","Média",IF(AE237="H","Alta","-")))),
      IF('Dados da OS'!$D$8=Parâmetros!$B$4,
         IF(OR(V237="ALI",V237="AIE"),"Baixa",IF(OR(V237="EE",V237="SE",V237="CE"),"Média","-")),
         IF(OR('Dados da OS'!$D$8=Parâmetros!$B$5,'Dados da OS'!$D$8=Parâmetros!$B$6),"-"))))</f>
        <v>-</v>
      </c>
      <c r="AI237" s="83" t="str">
        <f xml:space="preserve">
IF(OR(ISBLANK(V237),ISBLANK(U237),ISBLANK(W237),V237="N/A",ISBLANK('Dados da OS'!$D$8)),"",
   IF(OR('Dados da OS'!$D$8=Parâmetros!$B$3,'Dados da OS'!$D$8=Parâmetros!$B$4),
      IF(OR(AND(V237="INM",AG237&lt;&gt;"VF"),AND(AG237="VF",V237&lt;&gt;"INM")),"",
        IF(AND(V237="INM",AG237="VF"),IF(ISBLANK(AB237),"",AF237*AB237),
        IF('Dados da OS'!$D$8=Parâmetros!$B$4,
           IF(OR(V237="CE",V237="EE"),4,IF(V237="SE",5,IF(V237="ALI",7,IF(V237="AIE",5,"")))),
        IF('Dados da OS'!$D$8=Parâmetros!$B$3,
           IF(OR(ISBLANK(X237),ISBLANK(Z237)),"",
              IF(V237="ALI",IF(AE237="L",7,IF(AE237="A",10,15)),
                 IF(V237="AIE",IF(AE237="L",5,IF(AE237="A",7,10)),
                    IF(V237="SE",IF(AE237="L",4,IF(AE237="A",5,7)),
                       IF(OR(V237="EE",V237="CE"),IF(AE237="L",3,IF(AE237="A",4,6)),""))))))))),
   IF('Dados da OS'!$D$8=Parâmetros!$B$5,
      IF(OR(AND(V237="INM",AG237&lt;&gt;"VF"),AND(AG237="VF",V237&lt;&gt;"INM")),"",
         IF(V237="INM",IF(AG237="VF",AF237*AB237,""),
            IF(V237="PE",4.6,
            IF(V237="AL",7,"")))),
   IF('Dados da OS'!$D$8=Parâmetros!$B$6,
      IF(V237="ALI",35,IF(V237="AIE",15,"")),""))
    )
)</f>
        <v/>
      </c>
      <c r="AJ237" s="82" t="str">
        <f t="shared" si="28"/>
        <v/>
      </c>
      <c r="AK237" s="84"/>
      <c r="AL237" s="85" t="s">
        <v>21</v>
      </c>
      <c r="AM237" s="86"/>
      <c r="AN237" s="85"/>
      <c r="AO237" s="87"/>
      <c r="AP237" s="85"/>
      <c r="AQ237" s="86"/>
      <c r="AR237" s="85"/>
    </row>
    <row r="238" spans="1:44" ht="15.75" customHeight="1">
      <c r="A238" s="54"/>
      <c r="B238" s="100"/>
      <c r="C238" s="55"/>
      <c r="D238" s="55"/>
      <c r="E238" s="56"/>
      <c r="F238" s="55"/>
      <c r="G238" s="56"/>
      <c r="H238" s="55"/>
      <c r="I238" s="64"/>
      <c r="J238" s="57" t="str">
        <f t="shared" si="23"/>
        <v/>
      </c>
      <c r="K238" s="57" t="str">
        <f t="shared" si="24"/>
        <v/>
      </c>
      <c r="L238" s="57" t="str">
        <f xml:space="preserve">
IF(OR('Dados da OS'!$D$8=Parâmetros!$B$3,'Dados da OS'!$D$8=Parâmetros!$B$4),
  IF(OR(ISBLANK(D238),ISBLANK(F238)),
     IF(OR(B238="ALI",B238="AIE"),"L",IF(ISBLANK(B238),"","A")),
     IF(B238="EE",IF(F238&gt;=3,IF(D238&gt;=5,"H","A"),
     IF(F238&gt;=2,IF(D238&gt;=16,"H",IF(D238&lt;=4,"L","A")),IF(D238&lt;=15,"L","A"))),
     IF(OR(B238="SE",B238="CE"),IF(F238&gt;=4,IF(D238&gt;=6,"H","A"),IF(F238&gt;=2,IF(D238&gt;=20,"H",IF(D238&lt;=5,"L","A")),IF(D238&lt;=19,"L","A"))),
     IF(OR(B238="ALI",B238="AIE"),IF(F238&gt;=6,IF(D238&gt;=20,"H","A"),IF(F238&gt;=2,IF(D238&gt;=51,"H",IF(D238&lt;=19,"L","A")),IF(D238&lt;=50,"L","A"))))))),
IF('Dados da OS'!$D$8=Parâmetros!$B$6,"Indicativa",
IF('Dados da OS'!$D$8=Parâmetros!$B$5,"PFS","")))</f>
        <v/>
      </c>
      <c r="M238" s="57">
        <f>IFERROR(VLOOKUP(C238,'Fatores de Impacto e INMs'!$A$3:$D$32,3,0),1)</f>
        <v>1</v>
      </c>
      <c r="N238" s="57">
        <f>IFERROR(VLOOKUP(C238,'Fatores de Impacto e INMs'!$A$3:$E$32,5,0),1)</f>
        <v>1</v>
      </c>
      <c r="O238" s="63" t="str">
        <f xml:space="preserve">
IF(OR('Dados da OS'!$D$8="Selecione o tipo da contagem",ISBLANK('Dados da OS'!$D$8),B238="INM",B238="N/A",ISBLANK(B238),ISBLANK(C238),N238="VF"),"-",
   IF('Dados da OS'!$D$8=Parâmetros!$B$3,
      IF(OR(ISBLANK(D238),ISBLANK(F238)),"-",
         IF(L238="L","Baixa",IF(L238="A","Média",IF(L238="H","Alta","-")))),
      IF('Dados da OS'!$D$8=Parâmetros!$B$4,
         IF(OR(B238="ALI",B238="AIE"),"Baixa",IF(OR(B238="EE",B238="SE",B238="CE"),"Média","-")),
         IF(OR('Dados da OS'!$D$8=Parâmetros!$B$5,'Dados da OS'!$D$8=Parâmetros!$B$6),"-"))))</f>
        <v>-</v>
      </c>
      <c r="P238" s="59" t="str">
        <f xml:space="preserve">
IF(OR(ISBLANK(B238),ISBLANK(C238),B238="N/A",ISBLANK('Dados da OS'!$D$8)),"",
   IF(OR('Dados da OS'!$D$8=Parâmetros!$B$3,'Dados da OS'!$D$8=Parâmetros!$B$4),
      IF(OR(AND(B238="INM",N238&lt;&gt;"VF"),AND(N238="VF",B238&lt;&gt;"INM")),"",
        IF(AND(B238="INM",N238="VF"),IF(ISBLANK(H238),"",M238*H238),
        IF('Dados da OS'!$D$8=Parâmetros!$B$4,
           IF(OR(B238="CE",B238="EE"),4,IF(B238="SE",5,IF(B238="ALI",7,IF(B238="AIE",5,"")))),
        IF('Dados da OS'!$D$8=Parâmetros!$B$3,
           IF(OR(ISBLANK(D238),ISBLANK(F238)),"",
              IF(B238="ALI",IF(L238="L",7,IF(L238="A",10,15)),
                 IF(B238="AIE",IF(L238="L",5,IF(L238="A",7,10)),
                    IF(B238="SE",IF(L238="L",4,IF(L238="A",5,7)),
                       IF(OR(B238="EE",B238="CE"),IF(L238="L",3,IF(L238="A",4,6)),""))))))))),
   IF('Dados da OS'!$D$8=Parâmetros!$B$5,
      IF(OR(AND(B238="INM",N238&lt;&gt;"VF"),AND(N238="VF",B238&lt;&gt;"INM")),"",
         IF(B238="INM",IF(N238="VF",M238*H238,""),
            IF(B238="PE",4.6,
            IF(B238="AL",7,"")))),
   IF('Dados da OS'!$D$8=Parâmetros!$B$6,
      IF(B238="ALI",35,IF(B238="AIE",15,"")),""))
    )
)</f>
        <v/>
      </c>
      <c r="Q238" s="60" t="str">
        <f t="shared" si="25"/>
        <v/>
      </c>
      <c r="R238" s="61"/>
      <c r="S238" s="62"/>
      <c r="T238" s="80" t="s">
        <v>21</v>
      </c>
      <c r="U238" s="81"/>
      <c r="V238" s="99"/>
      <c r="W238" s="55"/>
      <c r="X238" s="55"/>
      <c r="Y238" s="56"/>
      <c r="Z238" s="55"/>
      <c r="AA238" s="56"/>
      <c r="AB238" s="55"/>
      <c r="AC238" s="57" t="str">
        <f t="shared" si="26"/>
        <v/>
      </c>
      <c r="AD238" s="57" t="str">
        <f t="shared" si="27"/>
        <v/>
      </c>
      <c r="AE238" s="57" t="str">
        <f xml:space="preserve">
IF(OR('Dados da OS'!$D$8=Parâmetros!$B$3,'Dados da OS'!$D$8=Parâmetros!$B$4),
  IF(OR(ISBLANK(X238),ISBLANK(Z238)),
     IF(OR(V238="ALI",V238="AIE"),"L",IF(ISBLANK(V238),"","A")),
     IF(V238="EE",IF(Z238&gt;=3,IF(X238&gt;=5,"H","A"),
     IF(Z238&gt;=2,IF(X238&gt;=16,"H",IF(X238&lt;=4,"L","A")),IF(X238&lt;=15,"L","A"))),
     IF(OR(V238="SE",V238="CE"),IF(Z238&gt;=4,IF(X238&gt;=6,"H","A"),IF(Z238&gt;=2,IF(X238&gt;=20,"H",IF(X238&lt;=5,"L","A")),IF(X238&lt;=19,"L","A"))),
     IF(OR(V238="ALI",V238="AIE"),IF(Z238&gt;=6,IF(X238&gt;=20,"H","A"),IF(Z238&gt;=2,IF(X238&gt;=51,"H",IF(X238&lt;=19,"L","A")),IF(X238&lt;=50,"L","A"))))))),
IF('Dados da OS'!$D$8=Parâmetros!$B$6,"Indicativa",
IF('Dados da OS'!$D$8=Parâmetros!$B$5,"PFS","")))</f>
        <v/>
      </c>
      <c r="AF238" s="57">
        <f>IFERROR(VLOOKUP(W238,'Fatores de Impacto e INMs'!$A$3:$D$32,3,0),1)</f>
        <v>1</v>
      </c>
      <c r="AG238" s="57">
        <f>IFERROR(VLOOKUP(W238,'Fatores de Impacto e INMs'!$A$3:$E$32,5,0),1)</f>
        <v>1</v>
      </c>
      <c r="AH238" s="82" t="str">
        <f xml:space="preserve">
IF(OR('Dados da OS'!$D$8="Selecione o tipo da contagem",ISBLANK('Dados da OS'!$D$8),V238="INM",V238="N/A",ISBLANK(V238),ISBLANK(W238),AG238="VF"),"-",
   IF('Dados da OS'!$D$8=Parâmetros!$B$3,
      IF(OR(ISBLANK(X238),ISBLANK(Z238)),"-",
         IF(AE238="L","Baixa",IF(AE238="A","Média",IF(AE238="H","Alta","-")))),
      IF('Dados da OS'!$D$8=Parâmetros!$B$4,
         IF(OR(V238="ALI",V238="AIE"),"Baixa",IF(OR(V238="EE",V238="SE",V238="CE"),"Média","-")),
         IF(OR('Dados da OS'!$D$8=Parâmetros!$B$5,'Dados da OS'!$D$8=Parâmetros!$B$6),"-"))))</f>
        <v>-</v>
      </c>
      <c r="AI238" s="83" t="str">
        <f xml:space="preserve">
IF(OR(ISBLANK(V238),ISBLANK(U238),ISBLANK(W238),V238="N/A",ISBLANK('Dados da OS'!$D$8)),"",
   IF(OR('Dados da OS'!$D$8=Parâmetros!$B$3,'Dados da OS'!$D$8=Parâmetros!$B$4),
      IF(OR(AND(V238="INM",AG238&lt;&gt;"VF"),AND(AG238="VF",V238&lt;&gt;"INM")),"",
        IF(AND(V238="INM",AG238="VF"),IF(ISBLANK(AB238),"",AF238*AB238),
        IF('Dados da OS'!$D$8=Parâmetros!$B$4,
           IF(OR(V238="CE",V238="EE"),4,IF(V238="SE",5,IF(V238="ALI",7,IF(V238="AIE",5,"")))),
        IF('Dados da OS'!$D$8=Parâmetros!$B$3,
           IF(OR(ISBLANK(X238),ISBLANK(Z238)),"",
              IF(V238="ALI",IF(AE238="L",7,IF(AE238="A",10,15)),
                 IF(V238="AIE",IF(AE238="L",5,IF(AE238="A",7,10)),
                    IF(V238="SE",IF(AE238="L",4,IF(AE238="A",5,7)),
                       IF(OR(V238="EE",V238="CE"),IF(AE238="L",3,IF(AE238="A",4,6)),""))))))))),
   IF('Dados da OS'!$D$8=Parâmetros!$B$5,
      IF(OR(AND(V238="INM",AG238&lt;&gt;"VF"),AND(AG238="VF",V238&lt;&gt;"INM")),"",
         IF(V238="INM",IF(AG238="VF",AF238*AB238,""),
            IF(V238="PE",4.6,
            IF(V238="AL",7,"")))),
   IF('Dados da OS'!$D$8=Parâmetros!$B$6,
      IF(V238="ALI",35,IF(V238="AIE",15,"")),""))
    )
)</f>
        <v/>
      </c>
      <c r="AJ238" s="82" t="str">
        <f t="shared" si="28"/>
        <v/>
      </c>
      <c r="AK238" s="84"/>
      <c r="AL238" s="85" t="s">
        <v>21</v>
      </c>
      <c r="AM238" s="86"/>
      <c r="AN238" s="85"/>
      <c r="AO238" s="87"/>
      <c r="AP238" s="85"/>
      <c r="AQ238" s="86"/>
      <c r="AR238" s="85"/>
    </row>
    <row r="239" spans="1:44" ht="15.75" customHeight="1">
      <c r="A239" s="54"/>
      <c r="B239" s="100"/>
      <c r="C239" s="55"/>
      <c r="D239" s="55"/>
      <c r="E239" s="56"/>
      <c r="F239" s="55"/>
      <c r="G239" s="56"/>
      <c r="H239" s="55"/>
      <c r="I239" s="64"/>
      <c r="J239" s="57" t="str">
        <f t="shared" si="23"/>
        <v/>
      </c>
      <c r="K239" s="57" t="str">
        <f t="shared" si="24"/>
        <v/>
      </c>
      <c r="L239" s="57" t="str">
        <f xml:space="preserve">
IF(OR('Dados da OS'!$D$8=Parâmetros!$B$3,'Dados da OS'!$D$8=Parâmetros!$B$4),
  IF(OR(ISBLANK(D239),ISBLANK(F239)),
     IF(OR(B239="ALI",B239="AIE"),"L",IF(ISBLANK(B239),"","A")),
     IF(B239="EE",IF(F239&gt;=3,IF(D239&gt;=5,"H","A"),
     IF(F239&gt;=2,IF(D239&gt;=16,"H",IF(D239&lt;=4,"L","A")),IF(D239&lt;=15,"L","A"))),
     IF(OR(B239="SE",B239="CE"),IF(F239&gt;=4,IF(D239&gt;=6,"H","A"),IF(F239&gt;=2,IF(D239&gt;=20,"H",IF(D239&lt;=5,"L","A")),IF(D239&lt;=19,"L","A"))),
     IF(OR(B239="ALI",B239="AIE"),IF(F239&gt;=6,IF(D239&gt;=20,"H","A"),IF(F239&gt;=2,IF(D239&gt;=51,"H",IF(D239&lt;=19,"L","A")),IF(D239&lt;=50,"L","A"))))))),
IF('Dados da OS'!$D$8=Parâmetros!$B$6,"Indicativa",
IF('Dados da OS'!$D$8=Parâmetros!$B$5,"PFS","")))</f>
        <v/>
      </c>
      <c r="M239" s="57">
        <f>IFERROR(VLOOKUP(C239,'Fatores de Impacto e INMs'!$A$3:$D$32,3,0),1)</f>
        <v>1</v>
      </c>
      <c r="N239" s="57">
        <f>IFERROR(VLOOKUP(C239,'Fatores de Impacto e INMs'!$A$3:$E$32,5,0),1)</f>
        <v>1</v>
      </c>
      <c r="O239" s="63" t="str">
        <f xml:space="preserve">
IF(OR('Dados da OS'!$D$8="Selecione o tipo da contagem",ISBLANK('Dados da OS'!$D$8),B239="INM",B239="N/A",ISBLANK(B239),ISBLANK(C239),N239="VF"),"-",
   IF('Dados da OS'!$D$8=Parâmetros!$B$3,
      IF(OR(ISBLANK(D239),ISBLANK(F239)),"-",
         IF(L239="L","Baixa",IF(L239="A","Média",IF(L239="H","Alta","-")))),
      IF('Dados da OS'!$D$8=Parâmetros!$B$4,
         IF(OR(B239="ALI",B239="AIE"),"Baixa",IF(OR(B239="EE",B239="SE",B239="CE"),"Média","-")),
         IF(OR('Dados da OS'!$D$8=Parâmetros!$B$5,'Dados da OS'!$D$8=Parâmetros!$B$6),"-"))))</f>
        <v>-</v>
      </c>
      <c r="P239" s="59" t="str">
        <f xml:space="preserve">
IF(OR(ISBLANK(B239),ISBLANK(C239),B239="N/A",ISBLANK('Dados da OS'!$D$8)),"",
   IF(OR('Dados da OS'!$D$8=Parâmetros!$B$3,'Dados da OS'!$D$8=Parâmetros!$B$4),
      IF(OR(AND(B239="INM",N239&lt;&gt;"VF"),AND(N239="VF",B239&lt;&gt;"INM")),"",
        IF(AND(B239="INM",N239="VF"),IF(ISBLANK(H239),"",M239*H239),
        IF('Dados da OS'!$D$8=Parâmetros!$B$4,
           IF(OR(B239="CE",B239="EE"),4,IF(B239="SE",5,IF(B239="ALI",7,IF(B239="AIE",5,"")))),
        IF('Dados da OS'!$D$8=Parâmetros!$B$3,
           IF(OR(ISBLANK(D239),ISBLANK(F239)),"",
              IF(B239="ALI",IF(L239="L",7,IF(L239="A",10,15)),
                 IF(B239="AIE",IF(L239="L",5,IF(L239="A",7,10)),
                    IF(B239="SE",IF(L239="L",4,IF(L239="A",5,7)),
                       IF(OR(B239="EE",B239="CE"),IF(L239="L",3,IF(L239="A",4,6)),""))))))))),
   IF('Dados da OS'!$D$8=Parâmetros!$B$5,
      IF(OR(AND(B239="INM",N239&lt;&gt;"VF"),AND(N239="VF",B239&lt;&gt;"INM")),"",
         IF(B239="INM",IF(N239="VF",M239*H239,""),
            IF(B239="PE",4.6,
            IF(B239="AL",7,"")))),
   IF('Dados da OS'!$D$8=Parâmetros!$B$6,
      IF(B239="ALI",35,IF(B239="AIE",15,"")),""))
    )
)</f>
        <v/>
      </c>
      <c r="Q239" s="60" t="str">
        <f t="shared" si="25"/>
        <v/>
      </c>
      <c r="R239" s="61"/>
      <c r="S239" s="62"/>
      <c r="T239" s="80" t="s">
        <v>21</v>
      </c>
      <c r="U239" s="81"/>
      <c r="V239" s="99"/>
      <c r="W239" s="55"/>
      <c r="X239" s="55"/>
      <c r="Y239" s="56"/>
      <c r="Z239" s="55"/>
      <c r="AA239" s="56"/>
      <c r="AB239" s="55"/>
      <c r="AC239" s="57" t="str">
        <f t="shared" si="26"/>
        <v/>
      </c>
      <c r="AD239" s="57" t="str">
        <f t="shared" si="27"/>
        <v/>
      </c>
      <c r="AE239" s="57" t="str">
        <f xml:space="preserve">
IF(OR('Dados da OS'!$D$8=Parâmetros!$B$3,'Dados da OS'!$D$8=Parâmetros!$B$4),
  IF(OR(ISBLANK(X239),ISBLANK(Z239)),
     IF(OR(V239="ALI",V239="AIE"),"L",IF(ISBLANK(V239),"","A")),
     IF(V239="EE",IF(Z239&gt;=3,IF(X239&gt;=5,"H","A"),
     IF(Z239&gt;=2,IF(X239&gt;=16,"H",IF(X239&lt;=4,"L","A")),IF(X239&lt;=15,"L","A"))),
     IF(OR(V239="SE",V239="CE"),IF(Z239&gt;=4,IF(X239&gt;=6,"H","A"),IF(Z239&gt;=2,IF(X239&gt;=20,"H",IF(X239&lt;=5,"L","A")),IF(X239&lt;=19,"L","A"))),
     IF(OR(V239="ALI",V239="AIE"),IF(Z239&gt;=6,IF(X239&gt;=20,"H","A"),IF(Z239&gt;=2,IF(X239&gt;=51,"H",IF(X239&lt;=19,"L","A")),IF(X239&lt;=50,"L","A"))))))),
IF('Dados da OS'!$D$8=Parâmetros!$B$6,"Indicativa",
IF('Dados da OS'!$D$8=Parâmetros!$B$5,"PFS","")))</f>
        <v/>
      </c>
      <c r="AF239" s="57">
        <f>IFERROR(VLOOKUP(W239,'Fatores de Impacto e INMs'!$A$3:$D$32,3,0),1)</f>
        <v>1</v>
      </c>
      <c r="AG239" s="57">
        <f>IFERROR(VLOOKUP(W239,'Fatores de Impacto e INMs'!$A$3:$E$32,5,0),1)</f>
        <v>1</v>
      </c>
      <c r="AH239" s="82" t="str">
        <f xml:space="preserve">
IF(OR('Dados da OS'!$D$8="Selecione o tipo da contagem",ISBLANK('Dados da OS'!$D$8),V239="INM",V239="N/A",ISBLANK(V239),ISBLANK(W239),AG239="VF"),"-",
   IF('Dados da OS'!$D$8=Parâmetros!$B$3,
      IF(OR(ISBLANK(X239),ISBLANK(Z239)),"-",
         IF(AE239="L","Baixa",IF(AE239="A","Média",IF(AE239="H","Alta","-")))),
      IF('Dados da OS'!$D$8=Parâmetros!$B$4,
         IF(OR(V239="ALI",V239="AIE"),"Baixa",IF(OR(V239="EE",V239="SE",V239="CE"),"Média","-")),
         IF(OR('Dados da OS'!$D$8=Parâmetros!$B$5,'Dados da OS'!$D$8=Parâmetros!$B$6),"-"))))</f>
        <v>-</v>
      </c>
      <c r="AI239" s="83" t="str">
        <f xml:space="preserve">
IF(OR(ISBLANK(V239),ISBLANK(U239),ISBLANK(W239),V239="N/A",ISBLANK('Dados da OS'!$D$8)),"",
   IF(OR('Dados da OS'!$D$8=Parâmetros!$B$3,'Dados da OS'!$D$8=Parâmetros!$B$4),
      IF(OR(AND(V239="INM",AG239&lt;&gt;"VF"),AND(AG239="VF",V239&lt;&gt;"INM")),"",
        IF(AND(V239="INM",AG239="VF"),IF(ISBLANK(AB239),"",AF239*AB239),
        IF('Dados da OS'!$D$8=Parâmetros!$B$4,
           IF(OR(V239="CE",V239="EE"),4,IF(V239="SE",5,IF(V239="ALI",7,IF(V239="AIE",5,"")))),
        IF('Dados da OS'!$D$8=Parâmetros!$B$3,
           IF(OR(ISBLANK(X239),ISBLANK(Z239)),"",
              IF(V239="ALI",IF(AE239="L",7,IF(AE239="A",10,15)),
                 IF(V239="AIE",IF(AE239="L",5,IF(AE239="A",7,10)),
                    IF(V239="SE",IF(AE239="L",4,IF(AE239="A",5,7)),
                       IF(OR(V239="EE",V239="CE"),IF(AE239="L",3,IF(AE239="A",4,6)),""))))))))),
   IF('Dados da OS'!$D$8=Parâmetros!$B$5,
      IF(OR(AND(V239="INM",AG239&lt;&gt;"VF"),AND(AG239="VF",V239&lt;&gt;"INM")),"",
         IF(V239="INM",IF(AG239="VF",AF239*AB239,""),
            IF(V239="PE",4.6,
            IF(V239="AL",7,"")))),
   IF('Dados da OS'!$D$8=Parâmetros!$B$6,
      IF(V239="ALI",35,IF(V239="AIE",15,"")),""))
    )
)</f>
        <v/>
      </c>
      <c r="AJ239" s="82" t="str">
        <f t="shared" si="28"/>
        <v/>
      </c>
      <c r="AK239" s="84"/>
      <c r="AL239" s="85" t="s">
        <v>21</v>
      </c>
      <c r="AM239" s="86"/>
      <c r="AN239" s="85"/>
      <c r="AO239" s="87"/>
      <c r="AP239" s="85"/>
      <c r="AQ239" s="86"/>
      <c r="AR239" s="85"/>
    </row>
    <row r="240" spans="1:44" ht="15.75" customHeight="1">
      <c r="A240" s="54"/>
      <c r="B240" s="100"/>
      <c r="C240" s="55"/>
      <c r="D240" s="55"/>
      <c r="E240" s="56"/>
      <c r="F240" s="55"/>
      <c r="G240" s="56"/>
      <c r="H240" s="55"/>
      <c r="I240" s="64"/>
      <c r="J240" s="57" t="str">
        <f t="shared" si="23"/>
        <v/>
      </c>
      <c r="K240" s="57" t="str">
        <f t="shared" si="24"/>
        <v/>
      </c>
      <c r="L240" s="57" t="str">
        <f xml:space="preserve">
IF(OR('Dados da OS'!$D$8=Parâmetros!$B$3,'Dados da OS'!$D$8=Parâmetros!$B$4),
  IF(OR(ISBLANK(D240),ISBLANK(F240)),
     IF(OR(B240="ALI",B240="AIE"),"L",IF(ISBLANK(B240),"","A")),
     IF(B240="EE",IF(F240&gt;=3,IF(D240&gt;=5,"H","A"),
     IF(F240&gt;=2,IF(D240&gt;=16,"H",IF(D240&lt;=4,"L","A")),IF(D240&lt;=15,"L","A"))),
     IF(OR(B240="SE",B240="CE"),IF(F240&gt;=4,IF(D240&gt;=6,"H","A"),IF(F240&gt;=2,IF(D240&gt;=20,"H",IF(D240&lt;=5,"L","A")),IF(D240&lt;=19,"L","A"))),
     IF(OR(B240="ALI",B240="AIE"),IF(F240&gt;=6,IF(D240&gt;=20,"H","A"),IF(F240&gt;=2,IF(D240&gt;=51,"H",IF(D240&lt;=19,"L","A")),IF(D240&lt;=50,"L","A"))))))),
IF('Dados da OS'!$D$8=Parâmetros!$B$6,"Indicativa",
IF('Dados da OS'!$D$8=Parâmetros!$B$5,"PFS","")))</f>
        <v/>
      </c>
      <c r="M240" s="57">
        <f>IFERROR(VLOOKUP(C240,'Fatores de Impacto e INMs'!$A$3:$D$32,3,0),1)</f>
        <v>1</v>
      </c>
      <c r="N240" s="57">
        <f>IFERROR(VLOOKUP(C240,'Fatores de Impacto e INMs'!$A$3:$E$32,5,0),1)</f>
        <v>1</v>
      </c>
      <c r="O240" s="63" t="str">
        <f xml:space="preserve">
IF(OR('Dados da OS'!$D$8="Selecione o tipo da contagem",ISBLANK('Dados da OS'!$D$8),B240="INM",B240="N/A",ISBLANK(B240),ISBLANK(C240),N240="VF"),"-",
   IF('Dados da OS'!$D$8=Parâmetros!$B$3,
      IF(OR(ISBLANK(D240),ISBLANK(F240)),"-",
         IF(L240="L","Baixa",IF(L240="A","Média",IF(L240="H","Alta","-")))),
      IF('Dados da OS'!$D$8=Parâmetros!$B$4,
         IF(OR(B240="ALI",B240="AIE"),"Baixa",IF(OR(B240="EE",B240="SE",B240="CE"),"Média","-")),
         IF(OR('Dados da OS'!$D$8=Parâmetros!$B$5,'Dados da OS'!$D$8=Parâmetros!$B$6),"-"))))</f>
        <v>-</v>
      </c>
      <c r="P240" s="59" t="str">
        <f xml:space="preserve">
IF(OR(ISBLANK(B240),ISBLANK(C240),B240="N/A",ISBLANK('Dados da OS'!$D$8)),"",
   IF(OR('Dados da OS'!$D$8=Parâmetros!$B$3,'Dados da OS'!$D$8=Parâmetros!$B$4),
      IF(OR(AND(B240="INM",N240&lt;&gt;"VF"),AND(N240="VF",B240&lt;&gt;"INM")),"",
        IF(AND(B240="INM",N240="VF"),IF(ISBLANK(H240),"",M240*H240),
        IF('Dados da OS'!$D$8=Parâmetros!$B$4,
           IF(OR(B240="CE",B240="EE"),4,IF(B240="SE",5,IF(B240="ALI",7,IF(B240="AIE",5,"")))),
        IF('Dados da OS'!$D$8=Parâmetros!$B$3,
           IF(OR(ISBLANK(D240),ISBLANK(F240)),"",
              IF(B240="ALI",IF(L240="L",7,IF(L240="A",10,15)),
                 IF(B240="AIE",IF(L240="L",5,IF(L240="A",7,10)),
                    IF(B240="SE",IF(L240="L",4,IF(L240="A",5,7)),
                       IF(OR(B240="EE",B240="CE"),IF(L240="L",3,IF(L240="A",4,6)),""))))))))),
   IF('Dados da OS'!$D$8=Parâmetros!$B$5,
      IF(OR(AND(B240="INM",N240&lt;&gt;"VF"),AND(N240="VF",B240&lt;&gt;"INM")),"",
         IF(B240="INM",IF(N240="VF",M240*H240,""),
            IF(B240="PE",4.6,
            IF(B240="AL",7,"")))),
   IF('Dados da OS'!$D$8=Parâmetros!$B$6,
      IF(B240="ALI",35,IF(B240="AIE",15,"")),""))
    )
)</f>
        <v/>
      </c>
      <c r="Q240" s="60" t="str">
        <f t="shared" si="25"/>
        <v/>
      </c>
      <c r="R240" s="61"/>
      <c r="S240" s="62"/>
      <c r="T240" s="80" t="s">
        <v>21</v>
      </c>
      <c r="U240" s="81"/>
      <c r="V240" s="99"/>
      <c r="W240" s="55"/>
      <c r="X240" s="55"/>
      <c r="Y240" s="56"/>
      <c r="Z240" s="55"/>
      <c r="AA240" s="56"/>
      <c r="AB240" s="55"/>
      <c r="AC240" s="57" t="str">
        <f t="shared" si="26"/>
        <v/>
      </c>
      <c r="AD240" s="57" t="str">
        <f t="shared" si="27"/>
        <v/>
      </c>
      <c r="AE240" s="57" t="str">
        <f xml:space="preserve">
IF(OR('Dados da OS'!$D$8=Parâmetros!$B$3,'Dados da OS'!$D$8=Parâmetros!$B$4),
  IF(OR(ISBLANK(X240),ISBLANK(Z240)),
     IF(OR(V240="ALI",V240="AIE"),"L",IF(ISBLANK(V240),"","A")),
     IF(V240="EE",IF(Z240&gt;=3,IF(X240&gt;=5,"H","A"),
     IF(Z240&gt;=2,IF(X240&gt;=16,"H",IF(X240&lt;=4,"L","A")),IF(X240&lt;=15,"L","A"))),
     IF(OR(V240="SE",V240="CE"),IF(Z240&gt;=4,IF(X240&gt;=6,"H","A"),IF(Z240&gt;=2,IF(X240&gt;=20,"H",IF(X240&lt;=5,"L","A")),IF(X240&lt;=19,"L","A"))),
     IF(OR(V240="ALI",V240="AIE"),IF(Z240&gt;=6,IF(X240&gt;=20,"H","A"),IF(Z240&gt;=2,IF(X240&gt;=51,"H",IF(X240&lt;=19,"L","A")),IF(X240&lt;=50,"L","A"))))))),
IF('Dados da OS'!$D$8=Parâmetros!$B$6,"Indicativa",
IF('Dados da OS'!$D$8=Parâmetros!$B$5,"PFS","")))</f>
        <v/>
      </c>
      <c r="AF240" s="57">
        <f>IFERROR(VLOOKUP(W240,'Fatores de Impacto e INMs'!$A$3:$D$32,3,0),1)</f>
        <v>1</v>
      </c>
      <c r="AG240" s="57">
        <f>IFERROR(VLOOKUP(W240,'Fatores de Impacto e INMs'!$A$3:$E$32,5,0),1)</f>
        <v>1</v>
      </c>
      <c r="AH240" s="82" t="str">
        <f xml:space="preserve">
IF(OR('Dados da OS'!$D$8="Selecione o tipo da contagem",ISBLANK('Dados da OS'!$D$8),V240="INM",V240="N/A",ISBLANK(V240),ISBLANK(W240),AG240="VF"),"-",
   IF('Dados da OS'!$D$8=Parâmetros!$B$3,
      IF(OR(ISBLANK(X240),ISBLANK(Z240)),"-",
         IF(AE240="L","Baixa",IF(AE240="A","Média",IF(AE240="H","Alta","-")))),
      IF('Dados da OS'!$D$8=Parâmetros!$B$4,
         IF(OR(V240="ALI",V240="AIE"),"Baixa",IF(OR(V240="EE",V240="SE",V240="CE"),"Média","-")),
         IF(OR('Dados da OS'!$D$8=Parâmetros!$B$5,'Dados da OS'!$D$8=Parâmetros!$B$6),"-"))))</f>
        <v>-</v>
      </c>
      <c r="AI240" s="83" t="str">
        <f xml:space="preserve">
IF(OR(ISBLANK(V240),ISBLANK(U240),ISBLANK(W240),V240="N/A",ISBLANK('Dados da OS'!$D$8)),"",
   IF(OR('Dados da OS'!$D$8=Parâmetros!$B$3,'Dados da OS'!$D$8=Parâmetros!$B$4),
      IF(OR(AND(V240="INM",AG240&lt;&gt;"VF"),AND(AG240="VF",V240&lt;&gt;"INM")),"",
        IF(AND(V240="INM",AG240="VF"),IF(ISBLANK(AB240),"",AF240*AB240),
        IF('Dados da OS'!$D$8=Parâmetros!$B$4,
           IF(OR(V240="CE",V240="EE"),4,IF(V240="SE",5,IF(V240="ALI",7,IF(V240="AIE",5,"")))),
        IF('Dados da OS'!$D$8=Parâmetros!$B$3,
           IF(OR(ISBLANK(X240),ISBLANK(Z240)),"",
              IF(V240="ALI",IF(AE240="L",7,IF(AE240="A",10,15)),
                 IF(V240="AIE",IF(AE240="L",5,IF(AE240="A",7,10)),
                    IF(V240="SE",IF(AE240="L",4,IF(AE240="A",5,7)),
                       IF(OR(V240="EE",V240="CE"),IF(AE240="L",3,IF(AE240="A",4,6)),""))))))))),
   IF('Dados da OS'!$D$8=Parâmetros!$B$5,
      IF(OR(AND(V240="INM",AG240&lt;&gt;"VF"),AND(AG240="VF",V240&lt;&gt;"INM")),"",
         IF(V240="INM",IF(AG240="VF",AF240*AB240,""),
            IF(V240="PE",4.6,
            IF(V240="AL",7,"")))),
   IF('Dados da OS'!$D$8=Parâmetros!$B$6,
      IF(V240="ALI",35,IF(V240="AIE",15,"")),""))
    )
)</f>
        <v/>
      </c>
      <c r="AJ240" s="82" t="str">
        <f t="shared" si="28"/>
        <v/>
      </c>
      <c r="AK240" s="84"/>
      <c r="AL240" s="85" t="s">
        <v>21</v>
      </c>
      <c r="AM240" s="86"/>
      <c r="AN240" s="85"/>
      <c r="AO240" s="87"/>
      <c r="AP240" s="85"/>
      <c r="AQ240" s="86"/>
      <c r="AR240" s="85"/>
    </row>
    <row r="241" spans="1:44" ht="15.75" customHeight="1">
      <c r="A241" s="54"/>
      <c r="B241" s="100"/>
      <c r="C241" s="55"/>
      <c r="D241" s="55"/>
      <c r="E241" s="56"/>
      <c r="F241" s="55"/>
      <c r="G241" s="56"/>
      <c r="H241" s="55"/>
      <c r="I241" s="64"/>
      <c r="J241" s="57" t="str">
        <f t="shared" si="23"/>
        <v/>
      </c>
      <c r="K241" s="57" t="str">
        <f t="shared" si="24"/>
        <v/>
      </c>
      <c r="L241" s="57" t="str">
        <f xml:space="preserve">
IF(OR('Dados da OS'!$D$8=Parâmetros!$B$3,'Dados da OS'!$D$8=Parâmetros!$B$4),
  IF(OR(ISBLANK(D241),ISBLANK(F241)),
     IF(OR(B241="ALI",B241="AIE"),"L",IF(ISBLANK(B241),"","A")),
     IF(B241="EE",IF(F241&gt;=3,IF(D241&gt;=5,"H","A"),
     IF(F241&gt;=2,IF(D241&gt;=16,"H",IF(D241&lt;=4,"L","A")),IF(D241&lt;=15,"L","A"))),
     IF(OR(B241="SE",B241="CE"),IF(F241&gt;=4,IF(D241&gt;=6,"H","A"),IF(F241&gt;=2,IF(D241&gt;=20,"H",IF(D241&lt;=5,"L","A")),IF(D241&lt;=19,"L","A"))),
     IF(OR(B241="ALI",B241="AIE"),IF(F241&gt;=6,IF(D241&gt;=20,"H","A"),IF(F241&gt;=2,IF(D241&gt;=51,"H",IF(D241&lt;=19,"L","A")),IF(D241&lt;=50,"L","A"))))))),
IF('Dados da OS'!$D$8=Parâmetros!$B$6,"Indicativa",
IF('Dados da OS'!$D$8=Parâmetros!$B$5,"PFS","")))</f>
        <v/>
      </c>
      <c r="M241" s="57">
        <f>IFERROR(VLOOKUP(C241,'Fatores de Impacto e INMs'!$A$3:$D$32,3,0),1)</f>
        <v>1</v>
      </c>
      <c r="N241" s="57">
        <f>IFERROR(VLOOKUP(C241,'Fatores de Impacto e INMs'!$A$3:$E$32,5,0),1)</f>
        <v>1</v>
      </c>
      <c r="O241" s="63" t="str">
        <f xml:space="preserve">
IF(OR('Dados da OS'!$D$8="Selecione o tipo da contagem",ISBLANK('Dados da OS'!$D$8),B241="INM",B241="N/A",ISBLANK(B241),ISBLANK(C241),N241="VF"),"-",
   IF('Dados da OS'!$D$8=Parâmetros!$B$3,
      IF(OR(ISBLANK(D241),ISBLANK(F241)),"-",
         IF(L241="L","Baixa",IF(L241="A","Média",IF(L241="H","Alta","-")))),
      IF('Dados da OS'!$D$8=Parâmetros!$B$4,
         IF(OR(B241="ALI",B241="AIE"),"Baixa",IF(OR(B241="EE",B241="SE",B241="CE"),"Média","-")),
         IF(OR('Dados da OS'!$D$8=Parâmetros!$B$5,'Dados da OS'!$D$8=Parâmetros!$B$6),"-"))))</f>
        <v>-</v>
      </c>
      <c r="P241" s="59" t="str">
        <f xml:space="preserve">
IF(OR(ISBLANK(B241),ISBLANK(C241),B241="N/A",ISBLANK('Dados da OS'!$D$8)),"",
   IF(OR('Dados da OS'!$D$8=Parâmetros!$B$3,'Dados da OS'!$D$8=Parâmetros!$B$4),
      IF(OR(AND(B241="INM",N241&lt;&gt;"VF"),AND(N241="VF",B241&lt;&gt;"INM")),"",
        IF(AND(B241="INM",N241="VF"),IF(ISBLANK(H241),"",M241*H241),
        IF('Dados da OS'!$D$8=Parâmetros!$B$4,
           IF(OR(B241="CE",B241="EE"),4,IF(B241="SE",5,IF(B241="ALI",7,IF(B241="AIE",5,"")))),
        IF('Dados da OS'!$D$8=Parâmetros!$B$3,
           IF(OR(ISBLANK(D241),ISBLANK(F241)),"",
              IF(B241="ALI",IF(L241="L",7,IF(L241="A",10,15)),
                 IF(B241="AIE",IF(L241="L",5,IF(L241="A",7,10)),
                    IF(B241="SE",IF(L241="L",4,IF(L241="A",5,7)),
                       IF(OR(B241="EE",B241="CE"),IF(L241="L",3,IF(L241="A",4,6)),""))))))))),
   IF('Dados da OS'!$D$8=Parâmetros!$B$5,
      IF(OR(AND(B241="INM",N241&lt;&gt;"VF"),AND(N241="VF",B241&lt;&gt;"INM")),"",
         IF(B241="INM",IF(N241="VF",M241*H241,""),
            IF(B241="PE",4.6,
            IF(B241="AL",7,"")))),
   IF('Dados da OS'!$D$8=Parâmetros!$B$6,
      IF(B241="ALI",35,IF(B241="AIE",15,"")),""))
    )
)</f>
        <v/>
      </c>
      <c r="Q241" s="60" t="str">
        <f t="shared" si="25"/>
        <v/>
      </c>
      <c r="R241" s="61"/>
      <c r="S241" s="62"/>
      <c r="T241" s="80" t="s">
        <v>21</v>
      </c>
      <c r="U241" s="81"/>
      <c r="V241" s="99"/>
      <c r="W241" s="55"/>
      <c r="X241" s="55"/>
      <c r="Y241" s="56"/>
      <c r="Z241" s="55"/>
      <c r="AA241" s="56"/>
      <c r="AB241" s="55"/>
      <c r="AC241" s="57" t="str">
        <f t="shared" si="26"/>
        <v/>
      </c>
      <c r="AD241" s="57" t="str">
        <f t="shared" si="27"/>
        <v/>
      </c>
      <c r="AE241" s="57" t="str">
        <f xml:space="preserve">
IF(OR('Dados da OS'!$D$8=Parâmetros!$B$3,'Dados da OS'!$D$8=Parâmetros!$B$4),
  IF(OR(ISBLANK(X241),ISBLANK(Z241)),
     IF(OR(V241="ALI",V241="AIE"),"L",IF(ISBLANK(V241),"","A")),
     IF(V241="EE",IF(Z241&gt;=3,IF(X241&gt;=5,"H","A"),
     IF(Z241&gt;=2,IF(X241&gt;=16,"H",IF(X241&lt;=4,"L","A")),IF(X241&lt;=15,"L","A"))),
     IF(OR(V241="SE",V241="CE"),IF(Z241&gt;=4,IF(X241&gt;=6,"H","A"),IF(Z241&gt;=2,IF(X241&gt;=20,"H",IF(X241&lt;=5,"L","A")),IF(X241&lt;=19,"L","A"))),
     IF(OR(V241="ALI",V241="AIE"),IF(Z241&gt;=6,IF(X241&gt;=20,"H","A"),IF(Z241&gt;=2,IF(X241&gt;=51,"H",IF(X241&lt;=19,"L","A")),IF(X241&lt;=50,"L","A"))))))),
IF('Dados da OS'!$D$8=Parâmetros!$B$6,"Indicativa",
IF('Dados da OS'!$D$8=Parâmetros!$B$5,"PFS","")))</f>
        <v/>
      </c>
      <c r="AF241" s="57">
        <f>IFERROR(VLOOKUP(W241,'Fatores de Impacto e INMs'!$A$3:$D$32,3,0),1)</f>
        <v>1</v>
      </c>
      <c r="AG241" s="57">
        <f>IFERROR(VLOOKUP(W241,'Fatores de Impacto e INMs'!$A$3:$E$32,5,0),1)</f>
        <v>1</v>
      </c>
      <c r="AH241" s="82" t="str">
        <f xml:space="preserve">
IF(OR('Dados da OS'!$D$8="Selecione o tipo da contagem",ISBLANK('Dados da OS'!$D$8),V241="INM",V241="N/A",ISBLANK(V241),ISBLANK(W241),AG241="VF"),"-",
   IF('Dados da OS'!$D$8=Parâmetros!$B$3,
      IF(OR(ISBLANK(X241),ISBLANK(Z241)),"-",
         IF(AE241="L","Baixa",IF(AE241="A","Média",IF(AE241="H","Alta","-")))),
      IF('Dados da OS'!$D$8=Parâmetros!$B$4,
         IF(OR(V241="ALI",V241="AIE"),"Baixa",IF(OR(V241="EE",V241="SE",V241="CE"),"Média","-")),
         IF(OR('Dados da OS'!$D$8=Parâmetros!$B$5,'Dados da OS'!$D$8=Parâmetros!$B$6),"-"))))</f>
        <v>-</v>
      </c>
      <c r="AI241" s="83" t="str">
        <f xml:space="preserve">
IF(OR(ISBLANK(V241),ISBLANK(U241),ISBLANK(W241),V241="N/A",ISBLANK('Dados da OS'!$D$8)),"",
   IF(OR('Dados da OS'!$D$8=Parâmetros!$B$3,'Dados da OS'!$D$8=Parâmetros!$B$4),
      IF(OR(AND(V241="INM",AG241&lt;&gt;"VF"),AND(AG241="VF",V241&lt;&gt;"INM")),"",
        IF(AND(V241="INM",AG241="VF"),IF(ISBLANK(AB241),"",AF241*AB241),
        IF('Dados da OS'!$D$8=Parâmetros!$B$4,
           IF(OR(V241="CE",V241="EE"),4,IF(V241="SE",5,IF(V241="ALI",7,IF(V241="AIE",5,"")))),
        IF('Dados da OS'!$D$8=Parâmetros!$B$3,
           IF(OR(ISBLANK(X241),ISBLANK(Z241)),"",
              IF(V241="ALI",IF(AE241="L",7,IF(AE241="A",10,15)),
                 IF(V241="AIE",IF(AE241="L",5,IF(AE241="A",7,10)),
                    IF(V241="SE",IF(AE241="L",4,IF(AE241="A",5,7)),
                       IF(OR(V241="EE",V241="CE"),IF(AE241="L",3,IF(AE241="A",4,6)),""))))))))),
   IF('Dados da OS'!$D$8=Parâmetros!$B$5,
      IF(OR(AND(V241="INM",AG241&lt;&gt;"VF"),AND(AG241="VF",V241&lt;&gt;"INM")),"",
         IF(V241="INM",IF(AG241="VF",AF241*AB241,""),
            IF(V241="PE",4.6,
            IF(V241="AL",7,"")))),
   IF('Dados da OS'!$D$8=Parâmetros!$B$6,
      IF(V241="ALI",35,IF(V241="AIE",15,"")),""))
    )
)</f>
        <v/>
      </c>
      <c r="AJ241" s="82" t="str">
        <f t="shared" si="28"/>
        <v/>
      </c>
      <c r="AK241" s="84"/>
      <c r="AL241" s="85" t="s">
        <v>21</v>
      </c>
      <c r="AM241" s="86"/>
      <c r="AN241" s="85"/>
      <c r="AO241" s="87"/>
      <c r="AP241" s="85"/>
      <c r="AQ241" s="86"/>
      <c r="AR241" s="85"/>
    </row>
    <row r="242" spans="1:44" ht="15.75" customHeight="1">
      <c r="A242" s="54"/>
      <c r="B242" s="100"/>
      <c r="C242" s="55"/>
      <c r="D242" s="55"/>
      <c r="E242" s="56"/>
      <c r="F242" s="55"/>
      <c r="G242" s="56"/>
      <c r="H242" s="55"/>
      <c r="I242" s="64"/>
      <c r="J242" s="57" t="str">
        <f t="shared" si="23"/>
        <v/>
      </c>
      <c r="K242" s="57" t="str">
        <f t="shared" si="24"/>
        <v/>
      </c>
      <c r="L242" s="57" t="str">
        <f xml:space="preserve">
IF(OR('Dados da OS'!$D$8=Parâmetros!$B$3,'Dados da OS'!$D$8=Parâmetros!$B$4),
  IF(OR(ISBLANK(D242),ISBLANK(F242)),
     IF(OR(B242="ALI",B242="AIE"),"L",IF(ISBLANK(B242),"","A")),
     IF(B242="EE",IF(F242&gt;=3,IF(D242&gt;=5,"H","A"),
     IF(F242&gt;=2,IF(D242&gt;=16,"H",IF(D242&lt;=4,"L","A")),IF(D242&lt;=15,"L","A"))),
     IF(OR(B242="SE",B242="CE"),IF(F242&gt;=4,IF(D242&gt;=6,"H","A"),IF(F242&gt;=2,IF(D242&gt;=20,"H",IF(D242&lt;=5,"L","A")),IF(D242&lt;=19,"L","A"))),
     IF(OR(B242="ALI",B242="AIE"),IF(F242&gt;=6,IF(D242&gt;=20,"H","A"),IF(F242&gt;=2,IF(D242&gt;=51,"H",IF(D242&lt;=19,"L","A")),IF(D242&lt;=50,"L","A"))))))),
IF('Dados da OS'!$D$8=Parâmetros!$B$6,"Indicativa",
IF('Dados da OS'!$D$8=Parâmetros!$B$5,"PFS","")))</f>
        <v/>
      </c>
      <c r="M242" s="57">
        <f>IFERROR(VLOOKUP(C242,'Fatores de Impacto e INMs'!$A$3:$D$32,3,0),1)</f>
        <v>1</v>
      </c>
      <c r="N242" s="57">
        <f>IFERROR(VLOOKUP(C242,'Fatores de Impacto e INMs'!$A$3:$E$32,5,0),1)</f>
        <v>1</v>
      </c>
      <c r="O242" s="63" t="str">
        <f xml:space="preserve">
IF(OR('Dados da OS'!$D$8="Selecione o tipo da contagem",ISBLANK('Dados da OS'!$D$8),B242="INM",B242="N/A",ISBLANK(B242),ISBLANK(C242),N242="VF"),"-",
   IF('Dados da OS'!$D$8=Parâmetros!$B$3,
      IF(OR(ISBLANK(D242),ISBLANK(F242)),"-",
         IF(L242="L","Baixa",IF(L242="A","Média",IF(L242="H","Alta","-")))),
      IF('Dados da OS'!$D$8=Parâmetros!$B$4,
         IF(OR(B242="ALI",B242="AIE"),"Baixa",IF(OR(B242="EE",B242="SE",B242="CE"),"Média","-")),
         IF(OR('Dados da OS'!$D$8=Parâmetros!$B$5,'Dados da OS'!$D$8=Parâmetros!$B$6),"-"))))</f>
        <v>-</v>
      </c>
      <c r="P242" s="59" t="str">
        <f xml:space="preserve">
IF(OR(ISBLANK(B242),ISBLANK(C242),B242="N/A",ISBLANK('Dados da OS'!$D$8)),"",
   IF(OR('Dados da OS'!$D$8=Parâmetros!$B$3,'Dados da OS'!$D$8=Parâmetros!$B$4),
      IF(OR(AND(B242="INM",N242&lt;&gt;"VF"),AND(N242="VF",B242&lt;&gt;"INM")),"",
        IF(AND(B242="INM",N242="VF"),IF(ISBLANK(H242),"",M242*H242),
        IF('Dados da OS'!$D$8=Parâmetros!$B$4,
           IF(OR(B242="CE",B242="EE"),4,IF(B242="SE",5,IF(B242="ALI",7,IF(B242="AIE",5,"")))),
        IF('Dados da OS'!$D$8=Parâmetros!$B$3,
           IF(OR(ISBLANK(D242),ISBLANK(F242)),"",
              IF(B242="ALI",IF(L242="L",7,IF(L242="A",10,15)),
                 IF(B242="AIE",IF(L242="L",5,IF(L242="A",7,10)),
                    IF(B242="SE",IF(L242="L",4,IF(L242="A",5,7)),
                       IF(OR(B242="EE",B242="CE"),IF(L242="L",3,IF(L242="A",4,6)),""))))))))),
   IF('Dados da OS'!$D$8=Parâmetros!$B$5,
      IF(OR(AND(B242="INM",N242&lt;&gt;"VF"),AND(N242="VF",B242&lt;&gt;"INM")),"",
         IF(B242="INM",IF(N242="VF",M242*H242,""),
            IF(B242="PE",4.6,
            IF(B242="AL",7,"")))),
   IF('Dados da OS'!$D$8=Parâmetros!$B$6,
      IF(B242="ALI",35,IF(B242="AIE",15,"")),""))
    )
)</f>
        <v/>
      </c>
      <c r="Q242" s="60" t="str">
        <f t="shared" si="25"/>
        <v/>
      </c>
      <c r="R242" s="61"/>
      <c r="S242" s="62"/>
      <c r="T242" s="80" t="s">
        <v>21</v>
      </c>
      <c r="U242" s="81"/>
      <c r="V242" s="99"/>
      <c r="W242" s="55"/>
      <c r="X242" s="55"/>
      <c r="Y242" s="56"/>
      <c r="Z242" s="55"/>
      <c r="AA242" s="56"/>
      <c r="AB242" s="55"/>
      <c r="AC242" s="57" t="str">
        <f t="shared" si="26"/>
        <v/>
      </c>
      <c r="AD242" s="57" t="str">
        <f t="shared" si="27"/>
        <v/>
      </c>
      <c r="AE242" s="57" t="str">
        <f xml:space="preserve">
IF(OR('Dados da OS'!$D$8=Parâmetros!$B$3,'Dados da OS'!$D$8=Parâmetros!$B$4),
  IF(OR(ISBLANK(X242),ISBLANK(Z242)),
     IF(OR(V242="ALI",V242="AIE"),"L",IF(ISBLANK(V242),"","A")),
     IF(V242="EE",IF(Z242&gt;=3,IF(X242&gt;=5,"H","A"),
     IF(Z242&gt;=2,IF(X242&gt;=16,"H",IF(X242&lt;=4,"L","A")),IF(X242&lt;=15,"L","A"))),
     IF(OR(V242="SE",V242="CE"),IF(Z242&gt;=4,IF(X242&gt;=6,"H","A"),IF(Z242&gt;=2,IF(X242&gt;=20,"H",IF(X242&lt;=5,"L","A")),IF(X242&lt;=19,"L","A"))),
     IF(OR(V242="ALI",V242="AIE"),IF(Z242&gt;=6,IF(X242&gt;=20,"H","A"),IF(Z242&gt;=2,IF(X242&gt;=51,"H",IF(X242&lt;=19,"L","A")),IF(X242&lt;=50,"L","A"))))))),
IF('Dados da OS'!$D$8=Parâmetros!$B$6,"Indicativa",
IF('Dados da OS'!$D$8=Parâmetros!$B$5,"PFS","")))</f>
        <v/>
      </c>
      <c r="AF242" s="57">
        <f>IFERROR(VLOOKUP(W242,'Fatores de Impacto e INMs'!$A$3:$D$32,3,0),1)</f>
        <v>1</v>
      </c>
      <c r="AG242" s="57">
        <f>IFERROR(VLOOKUP(W242,'Fatores de Impacto e INMs'!$A$3:$E$32,5,0),1)</f>
        <v>1</v>
      </c>
      <c r="AH242" s="82" t="str">
        <f xml:space="preserve">
IF(OR('Dados da OS'!$D$8="Selecione o tipo da contagem",ISBLANK('Dados da OS'!$D$8),V242="INM",V242="N/A",ISBLANK(V242),ISBLANK(W242),AG242="VF"),"-",
   IF('Dados da OS'!$D$8=Parâmetros!$B$3,
      IF(OR(ISBLANK(X242),ISBLANK(Z242)),"-",
         IF(AE242="L","Baixa",IF(AE242="A","Média",IF(AE242="H","Alta","-")))),
      IF('Dados da OS'!$D$8=Parâmetros!$B$4,
         IF(OR(V242="ALI",V242="AIE"),"Baixa",IF(OR(V242="EE",V242="SE",V242="CE"),"Média","-")),
         IF(OR('Dados da OS'!$D$8=Parâmetros!$B$5,'Dados da OS'!$D$8=Parâmetros!$B$6),"-"))))</f>
        <v>-</v>
      </c>
      <c r="AI242" s="83" t="str">
        <f xml:space="preserve">
IF(OR(ISBLANK(V242),ISBLANK(U242),ISBLANK(W242),V242="N/A",ISBLANK('Dados da OS'!$D$8)),"",
   IF(OR('Dados da OS'!$D$8=Parâmetros!$B$3,'Dados da OS'!$D$8=Parâmetros!$B$4),
      IF(OR(AND(V242="INM",AG242&lt;&gt;"VF"),AND(AG242="VF",V242&lt;&gt;"INM")),"",
        IF(AND(V242="INM",AG242="VF"),IF(ISBLANK(AB242),"",AF242*AB242),
        IF('Dados da OS'!$D$8=Parâmetros!$B$4,
           IF(OR(V242="CE",V242="EE"),4,IF(V242="SE",5,IF(V242="ALI",7,IF(V242="AIE",5,"")))),
        IF('Dados da OS'!$D$8=Parâmetros!$B$3,
           IF(OR(ISBLANK(X242),ISBLANK(Z242)),"",
              IF(V242="ALI",IF(AE242="L",7,IF(AE242="A",10,15)),
                 IF(V242="AIE",IF(AE242="L",5,IF(AE242="A",7,10)),
                    IF(V242="SE",IF(AE242="L",4,IF(AE242="A",5,7)),
                       IF(OR(V242="EE",V242="CE"),IF(AE242="L",3,IF(AE242="A",4,6)),""))))))))),
   IF('Dados da OS'!$D$8=Parâmetros!$B$5,
      IF(OR(AND(V242="INM",AG242&lt;&gt;"VF"),AND(AG242="VF",V242&lt;&gt;"INM")),"",
         IF(V242="INM",IF(AG242="VF",AF242*AB242,""),
            IF(V242="PE",4.6,
            IF(V242="AL",7,"")))),
   IF('Dados da OS'!$D$8=Parâmetros!$B$6,
      IF(V242="ALI",35,IF(V242="AIE",15,"")),""))
    )
)</f>
        <v/>
      </c>
      <c r="AJ242" s="82" t="str">
        <f t="shared" si="28"/>
        <v/>
      </c>
      <c r="AK242" s="84"/>
      <c r="AL242" s="85" t="s">
        <v>21</v>
      </c>
      <c r="AM242" s="86"/>
      <c r="AN242" s="85"/>
      <c r="AO242" s="87"/>
      <c r="AP242" s="85"/>
      <c r="AQ242" s="86"/>
      <c r="AR242" s="85"/>
    </row>
    <row r="243" spans="1:44" ht="15.75" customHeight="1">
      <c r="A243" s="54"/>
      <c r="B243" s="100"/>
      <c r="C243" s="55"/>
      <c r="D243" s="55"/>
      <c r="E243" s="56"/>
      <c r="F243" s="55"/>
      <c r="G243" s="56"/>
      <c r="H243" s="55"/>
      <c r="I243" s="64"/>
      <c r="J243" s="57" t="str">
        <f t="shared" si="23"/>
        <v/>
      </c>
      <c r="K243" s="57" t="str">
        <f t="shared" si="24"/>
        <v/>
      </c>
      <c r="L243" s="57" t="str">
        <f xml:space="preserve">
IF(OR('Dados da OS'!$D$8=Parâmetros!$B$3,'Dados da OS'!$D$8=Parâmetros!$B$4),
  IF(OR(ISBLANK(D243),ISBLANK(F243)),
     IF(OR(B243="ALI",B243="AIE"),"L",IF(ISBLANK(B243),"","A")),
     IF(B243="EE",IF(F243&gt;=3,IF(D243&gt;=5,"H","A"),
     IF(F243&gt;=2,IF(D243&gt;=16,"H",IF(D243&lt;=4,"L","A")),IF(D243&lt;=15,"L","A"))),
     IF(OR(B243="SE",B243="CE"),IF(F243&gt;=4,IF(D243&gt;=6,"H","A"),IF(F243&gt;=2,IF(D243&gt;=20,"H",IF(D243&lt;=5,"L","A")),IF(D243&lt;=19,"L","A"))),
     IF(OR(B243="ALI",B243="AIE"),IF(F243&gt;=6,IF(D243&gt;=20,"H","A"),IF(F243&gt;=2,IF(D243&gt;=51,"H",IF(D243&lt;=19,"L","A")),IF(D243&lt;=50,"L","A"))))))),
IF('Dados da OS'!$D$8=Parâmetros!$B$6,"Indicativa",
IF('Dados da OS'!$D$8=Parâmetros!$B$5,"PFS","")))</f>
        <v/>
      </c>
      <c r="M243" s="57">
        <f>IFERROR(VLOOKUP(C243,'Fatores de Impacto e INMs'!$A$3:$D$32,3,0),1)</f>
        <v>1</v>
      </c>
      <c r="N243" s="57">
        <f>IFERROR(VLOOKUP(C243,'Fatores de Impacto e INMs'!$A$3:$E$32,5,0),1)</f>
        <v>1</v>
      </c>
      <c r="O243" s="63" t="str">
        <f xml:space="preserve">
IF(OR('Dados da OS'!$D$8="Selecione o tipo da contagem",ISBLANK('Dados da OS'!$D$8),B243="INM",B243="N/A",ISBLANK(B243),ISBLANK(C243),N243="VF"),"-",
   IF('Dados da OS'!$D$8=Parâmetros!$B$3,
      IF(OR(ISBLANK(D243),ISBLANK(F243)),"-",
         IF(L243="L","Baixa",IF(L243="A","Média",IF(L243="H","Alta","-")))),
      IF('Dados da OS'!$D$8=Parâmetros!$B$4,
         IF(OR(B243="ALI",B243="AIE"),"Baixa",IF(OR(B243="EE",B243="SE",B243="CE"),"Média","-")),
         IF(OR('Dados da OS'!$D$8=Parâmetros!$B$5,'Dados da OS'!$D$8=Parâmetros!$B$6),"-"))))</f>
        <v>-</v>
      </c>
      <c r="P243" s="59" t="str">
        <f xml:space="preserve">
IF(OR(ISBLANK(B243),ISBLANK(C243),B243="N/A",ISBLANK('Dados da OS'!$D$8)),"",
   IF(OR('Dados da OS'!$D$8=Parâmetros!$B$3,'Dados da OS'!$D$8=Parâmetros!$B$4),
      IF(OR(AND(B243="INM",N243&lt;&gt;"VF"),AND(N243="VF",B243&lt;&gt;"INM")),"",
        IF(AND(B243="INM",N243="VF"),IF(ISBLANK(H243),"",M243*H243),
        IF('Dados da OS'!$D$8=Parâmetros!$B$4,
           IF(OR(B243="CE",B243="EE"),4,IF(B243="SE",5,IF(B243="ALI",7,IF(B243="AIE",5,"")))),
        IF('Dados da OS'!$D$8=Parâmetros!$B$3,
           IF(OR(ISBLANK(D243),ISBLANK(F243)),"",
              IF(B243="ALI",IF(L243="L",7,IF(L243="A",10,15)),
                 IF(B243="AIE",IF(L243="L",5,IF(L243="A",7,10)),
                    IF(B243="SE",IF(L243="L",4,IF(L243="A",5,7)),
                       IF(OR(B243="EE",B243="CE"),IF(L243="L",3,IF(L243="A",4,6)),""))))))))),
   IF('Dados da OS'!$D$8=Parâmetros!$B$5,
      IF(OR(AND(B243="INM",N243&lt;&gt;"VF"),AND(N243="VF",B243&lt;&gt;"INM")),"",
         IF(B243="INM",IF(N243="VF",M243*H243,""),
            IF(B243="PE",4.6,
            IF(B243="AL",7,"")))),
   IF('Dados da OS'!$D$8=Parâmetros!$B$6,
      IF(B243="ALI",35,IF(B243="AIE",15,"")),""))
    )
)</f>
        <v/>
      </c>
      <c r="Q243" s="60" t="str">
        <f t="shared" si="25"/>
        <v/>
      </c>
      <c r="R243" s="61"/>
      <c r="S243" s="62"/>
      <c r="T243" s="80" t="s">
        <v>21</v>
      </c>
      <c r="U243" s="81"/>
      <c r="V243" s="99"/>
      <c r="W243" s="55"/>
      <c r="X243" s="55"/>
      <c r="Y243" s="56"/>
      <c r="Z243" s="55"/>
      <c r="AA243" s="56"/>
      <c r="AB243" s="55"/>
      <c r="AC243" s="57" t="str">
        <f t="shared" si="26"/>
        <v/>
      </c>
      <c r="AD243" s="57" t="str">
        <f t="shared" si="27"/>
        <v/>
      </c>
      <c r="AE243" s="57" t="str">
        <f xml:space="preserve">
IF(OR('Dados da OS'!$D$8=Parâmetros!$B$3,'Dados da OS'!$D$8=Parâmetros!$B$4),
  IF(OR(ISBLANK(X243),ISBLANK(Z243)),
     IF(OR(V243="ALI",V243="AIE"),"L",IF(ISBLANK(V243),"","A")),
     IF(V243="EE",IF(Z243&gt;=3,IF(X243&gt;=5,"H","A"),
     IF(Z243&gt;=2,IF(X243&gt;=16,"H",IF(X243&lt;=4,"L","A")),IF(X243&lt;=15,"L","A"))),
     IF(OR(V243="SE",V243="CE"),IF(Z243&gt;=4,IF(X243&gt;=6,"H","A"),IF(Z243&gt;=2,IF(X243&gt;=20,"H",IF(X243&lt;=5,"L","A")),IF(X243&lt;=19,"L","A"))),
     IF(OR(V243="ALI",V243="AIE"),IF(Z243&gt;=6,IF(X243&gt;=20,"H","A"),IF(Z243&gt;=2,IF(X243&gt;=51,"H",IF(X243&lt;=19,"L","A")),IF(X243&lt;=50,"L","A"))))))),
IF('Dados da OS'!$D$8=Parâmetros!$B$6,"Indicativa",
IF('Dados da OS'!$D$8=Parâmetros!$B$5,"PFS","")))</f>
        <v/>
      </c>
      <c r="AF243" s="57">
        <f>IFERROR(VLOOKUP(W243,'Fatores de Impacto e INMs'!$A$3:$D$32,3,0),1)</f>
        <v>1</v>
      </c>
      <c r="AG243" s="57">
        <f>IFERROR(VLOOKUP(W243,'Fatores de Impacto e INMs'!$A$3:$E$32,5,0),1)</f>
        <v>1</v>
      </c>
      <c r="AH243" s="82" t="str">
        <f xml:space="preserve">
IF(OR('Dados da OS'!$D$8="Selecione o tipo da contagem",ISBLANK('Dados da OS'!$D$8),V243="INM",V243="N/A",ISBLANK(V243),ISBLANK(W243),AG243="VF"),"-",
   IF('Dados da OS'!$D$8=Parâmetros!$B$3,
      IF(OR(ISBLANK(X243),ISBLANK(Z243)),"-",
         IF(AE243="L","Baixa",IF(AE243="A","Média",IF(AE243="H","Alta","-")))),
      IF('Dados da OS'!$D$8=Parâmetros!$B$4,
         IF(OR(V243="ALI",V243="AIE"),"Baixa",IF(OR(V243="EE",V243="SE",V243="CE"),"Média","-")),
         IF(OR('Dados da OS'!$D$8=Parâmetros!$B$5,'Dados da OS'!$D$8=Parâmetros!$B$6),"-"))))</f>
        <v>-</v>
      </c>
      <c r="AI243" s="83" t="str">
        <f xml:space="preserve">
IF(OR(ISBLANK(V243),ISBLANK(U243),ISBLANK(W243),V243="N/A",ISBLANK('Dados da OS'!$D$8)),"",
   IF(OR('Dados da OS'!$D$8=Parâmetros!$B$3,'Dados da OS'!$D$8=Parâmetros!$B$4),
      IF(OR(AND(V243="INM",AG243&lt;&gt;"VF"),AND(AG243="VF",V243&lt;&gt;"INM")),"",
        IF(AND(V243="INM",AG243="VF"),IF(ISBLANK(AB243),"",AF243*AB243),
        IF('Dados da OS'!$D$8=Parâmetros!$B$4,
           IF(OR(V243="CE",V243="EE"),4,IF(V243="SE",5,IF(V243="ALI",7,IF(V243="AIE",5,"")))),
        IF('Dados da OS'!$D$8=Parâmetros!$B$3,
           IF(OR(ISBLANK(X243),ISBLANK(Z243)),"",
              IF(V243="ALI",IF(AE243="L",7,IF(AE243="A",10,15)),
                 IF(V243="AIE",IF(AE243="L",5,IF(AE243="A",7,10)),
                    IF(V243="SE",IF(AE243="L",4,IF(AE243="A",5,7)),
                       IF(OR(V243="EE",V243="CE"),IF(AE243="L",3,IF(AE243="A",4,6)),""))))))))),
   IF('Dados da OS'!$D$8=Parâmetros!$B$5,
      IF(OR(AND(V243="INM",AG243&lt;&gt;"VF"),AND(AG243="VF",V243&lt;&gt;"INM")),"",
         IF(V243="INM",IF(AG243="VF",AF243*AB243,""),
            IF(V243="PE",4.6,
            IF(V243="AL",7,"")))),
   IF('Dados da OS'!$D$8=Parâmetros!$B$6,
      IF(V243="ALI",35,IF(V243="AIE",15,"")),""))
    )
)</f>
        <v/>
      </c>
      <c r="AJ243" s="82" t="str">
        <f t="shared" si="28"/>
        <v/>
      </c>
      <c r="AK243" s="84"/>
      <c r="AL243" s="85" t="s">
        <v>21</v>
      </c>
      <c r="AM243" s="86"/>
      <c r="AN243" s="85"/>
      <c r="AO243" s="87"/>
      <c r="AP243" s="85"/>
      <c r="AQ243" s="86"/>
      <c r="AR243" s="85"/>
    </row>
    <row r="244" spans="1:44" ht="15.75" customHeight="1">
      <c r="A244" s="54"/>
      <c r="B244" s="100"/>
      <c r="C244" s="55"/>
      <c r="D244" s="55"/>
      <c r="E244" s="56"/>
      <c r="F244" s="55"/>
      <c r="G244" s="56"/>
      <c r="H244" s="55"/>
      <c r="I244" s="64"/>
      <c r="J244" s="57" t="str">
        <f t="shared" ref="J244:J307" si="29">CONCATENATE(B244,L244)</f>
        <v/>
      </c>
      <c r="K244" s="57" t="str">
        <f t="shared" ref="K244:K307" si="30">CONCATENATE(B244,C244,L244,Q244)</f>
        <v/>
      </c>
      <c r="L244" s="57" t="str">
        <f xml:space="preserve">
IF(OR('Dados da OS'!$D$8=Parâmetros!$B$3,'Dados da OS'!$D$8=Parâmetros!$B$4),
  IF(OR(ISBLANK(D244),ISBLANK(F244)),
     IF(OR(B244="ALI",B244="AIE"),"L",IF(ISBLANK(B244),"","A")),
     IF(B244="EE",IF(F244&gt;=3,IF(D244&gt;=5,"H","A"),
     IF(F244&gt;=2,IF(D244&gt;=16,"H",IF(D244&lt;=4,"L","A")),IF(D244&lt;=15,"L","A"))),
     IF(OR(B244="SE",B244="CE"),IF(F244&gt;=4,IF(D244&gt;=6,"H","A"),IF(F244&gt;=2,IF(D244&gt;=20,"H",IF(D244&lt;=5,"L","A")),IF(D244&lt;=19,"L","A"))),
     IF(OR(B244="ALI",B244="AIE"),IF(F244&gt;=6,IF(D244&gt;=20,"H","A"),IF(F244&gt;=2,IF(D244&gt;=51,"H",IF(D244&lt;=19,"L","A")),IF(D244&lt;=50,"L","A"))))))),
IF('Dados da OS'!$D$8=Parâmetros!$B$6,"Indicativa",
IF('Dados da OS'!$D$8=Parâmetros!$B$5,"PFS","")))</f>
        <v/>
      </c>
      <c r="M244" s="57">
        <f>IFERROR(VLOOKUP(C244,'Fatores de Impacto e INMs'!$A$3:$D$32,3,0),1)</f>
        <v>1</v>
      </c>
      <c r="N244" s="57">
        <f>IFERROR(VLOOKUP(C244,'Fatores de Impacto e INMs'!$A$3:$E$32,5,0),1)</f>
        <v>1</v>
      </c>
      <c r="O244" s="63" t="str">
        <f xml:space="preserve">
IF(OR('Dados da OS'!$D$8="Selecione o tipo da contagem",ISBLANK('Dados da OS'!$D$8),B244="INM",B244="N/A",ISBLANK(B244),ISBLANK(C244),N244="VF"),"-",
   IF('Dados da OS'!$D$8=Parâmetros!$B$3,
      IF(OR(ISBLANK(D244),ISBLANK(F244)),"-",
         IF(L244="L","Baixa",IF(L244="A","Média",IF(L244="H","Alta","-")))),
      IF('Dados da OS'!$D$8=Parâmetros!$B$4,
         IF(OR(B244="ALI",B244="AIE"),"Baixa",IF(OR(B244="EE",B244="SE",B244="CE"),"Média","-")),
         IF(OR('Dados da OS'!$D$8=Parâmetros!$B$5,'Dados da OS'!$D$8=Parâmetros!$B$6),"-"))))</f>
        <v>-</v>
      </c>
      <c r="P244" s="59" t="str">
        <f xml:space="preserve">
IF(OR(ISBLANK(B244),ISBLANK(C244),B244="N/A",ISBLANK('Dados da OS'!$D$8)),"",
   IF(OR('Dados da OS'!$D$8=Parâmetros!$B$3,'Dados da OS'!$D$8=Parâmetros!$B$4),
      IF(OR(AND(B244="INM",N244&lt;&gt;"VF"),AND(N244="VF",B244&lt;&gt;"INM")),"",
        IF(AND(B244="INM",N244="VF"),IF(ISBLANK(H244),"",M244*H244),
        IF('Dados da OS'!$D$8=Parâmetros!$B$4,
           IF(OR(B244="CE",B244="EE"),4,IF(B244="SE",5,IF(B244="ALI",7,IF(B244="AIE",5,"")))),
        IF('Dados da OS'!$D$8=Parâmetros!$B$3,
           IF(OR(ISBLANK(D244),ISBLANK(F244)),"",
              IF(B244="ALI",IF(L244="L",7,IF(L244="A",10,15)),
                 IF(B244="AIE",IF(L244="L",5,IF(L244="A",7,10)),
                    IF(B244="SE",IF(L244="L",4,IF(L244="A",5,7)),
                       IF(OR(B244="EE",B244="CE"),IF(L244="L",3,IF(L244="A",4,6)),""))))))))),
   IF('Dados da OS'!$D$8=Parâmetros!$B$5,
      IF(OR(AND(B244="INM",N244&lt;&gt;"VF"),AND(N244="VF",B244&lt;&gt;"INM")),"",
         IF(B244="INM",IF(N244="VF",M244*H244,""),
            IF(B244="PE",4.6,
            IF(B244="AL",7,"")))),
   IF('Dados da OS'!$D$8=Parâmetros!$B$6,
      IF(B244="ALI",35,IF(B244="AIE",15,"")),""))
    )
)</f>
        <v/>
      </c>
      <c r="Q244" s="60" t="str">
        <f t="shared" si="25"/>
        <v/>
      </c>
      <c r="R244" s="61"/>
      <c r="S244" s="62"/>
      <c r="T244" s="80" t="s">
        <v>21</v>
      </c>
      <c r="U244" s="81"/>
      <c r="V244" s="99"/>
      <c r="W244" s="55"/>
      <c r="X244" s="55"/>
      <c r="Y244" s="56"/>
      <c r="Z244" s="55"/>
      <c r="AA244" s="56"/>
      <c r="AB244" s="55"/>
      <c r="AC244" s="57" t="str">
        <f t="shared" si="26"/>
        <v/>
      </c>
      <c r="AD244" s="57" t="str">
        <f t="shared" si="27"/>
        <v/>
      </c>
      <c r="AE244" s="57" t="str">
        <f xml:space="preserve">
IF(OR('Dados da OS'!$D$8=Parâmetros!$B$3,'Dados da OS'!$D$8=Parâmetros!$B$4),
  IF(OR(ISBLANK(X244),ISBLANK(Z244)),
     IF(OR(V244="ALI",V244="AIE"),"L",IF(ISBLANK(V244),"","A")),
     IF(V244="EE",IF(Z244&gt;=3,IF(X244&gt;=5,"H","A"),
     IF(Z244&gt;=2,IF(X244&gt;=16,"H",IF(X244&lt;=4,"L","A")),IF(X244&lt;=15,"L","A"))),
     IF(OR(V244="SE",V244="CE"),IF(Z244&gt;=4,IF(X244&gt;=6,"H","A"),IF(Z244&gt;=2,IF(X244&gt;=20,"H",IF(X244&lt;=5,"L","A")),IF(X244&lt;=19,"L","A"))),
     IF(OR(V244="ALI",V244="AIE"),IF(Z244&gt;=6,IF(X244&gt;=20,"H","A"),IF(Z244&gt;=2,IF(X244&gt;=51,"H",IF(X244&lt;=19,"L","A")),IF(X244&lt;=50,"L","A"))))))),
IF('Dados da OS'!$D$8=Parâmetros!$B$6,"Indicativa",
IF('Dados da OS'!$D$8=Parâmetros!$B$5,"PFS","")))</f>
        <v/>
      </c>
      <c r="AF244" s="57">
        <f>IFERROR(VLOOKUP(W244,'Fatores de Impacto e INMs'!$A$3:$D$32,3,0),1)</f>
        <v>1</v>
      </c>
      <c r="AG244" s="57">
        <f>IFERROR(VLOOKUP(W244,'Fatores de Impacto e INMs'!$A$3:$E$32,5,0),1)</f>
        <v>1</v>
      </c>
      <c r="AH244" s="82" t="str">
        <f xml:space="preserve">
IF(OR('Dados da OS'!$D$8="Selecione o tipo da contagem",ISBLANK('Dados da OS'!$D$8),V244="INM",V244="N/A",ISBLANK(V244),ISBLANK(W244),AG244="VF"),"-",
   IF('Dados da OS'!$D$8=Parâmetros!$B$3,
      IF(OR(ISBLANK(X244),ISBLANK(Z244)),"-",
         IF(AE244="L","Baixa",IF(AE244="A","Média",IF(AE244="H","Alta","-")))),
      IF('Dados da OS'!$D$8=Parâmetros!$B$4,
         IF(OR(V244="ALI",V244="AIE"),"Baixa",IF(OR(V244="EE",V244="SE",V244="CE"),"Média","-")),
         IF(OR('Dados da OS'!$D$8=Parâmetros!$B$5,'Dados da OS'!$D$8=Parâmetros!$B$6),"-"))))</f>
        <v>-</v>
      </c>
      <c r="AI244" s="83" t="str">
        <f xml:space="preserve">
IF(OR(ISBLANK(V244),ISBLANK(U244),ISBLANK(W244),V244="N/A",ISBLANK('Dados da OS'!$D$8)),"",
   IF(OR('Dados da OS'!$D$8=Parâmetros!$B$3,'Dados da OS'!$D$8=Parâmetros!$B$4),
      IF(OR(AND(V244="INM",AG244&lt;&gt;"VF"),AND(AG244="VF",V244&lt;&gt;"INM")),"",
        IF(AND(V244="INM",AG244="VF"),IF(ISBLANK(AB244),"",AF244*AB244),
        IF('Dados da OS'!$D$8=Parâmetros!$B$4,
           IF(OR(V244="CE",V244="EE"),4,IF(V244="SE",5,IF(V244="ALI",7,IF(V244="AIE",5,"")))),
        IF('Dados da OS'!$D$8=Parâmetros!$B$3,
           IF(OR(ISBLANK(X244),ISBLANK(Z244)),"",
              IF(V244="ALI",IF(AE244="L",7,IF(AE244="A",10,15)),
                 IF(V244="AIE",IF(AE244="L",5,IF(AE244="A",7,10)),
                    IF(V244="SE",IF(AE244="L",4,IF(AE244="A",5,7)),
                       IF(OR(V244="EE",V244="CE"),IF(AE244="L",3,IF(AE244="A",4,6)),""))))))))),
   IF('Dados da OS'!$D$8=Parâmetros!$B$5,
      IF(OR(AND(V244="INM",AG244&lt;&gt;"VF"),AND(AG244="VF",V244&lt;&gt;"INM")),"",
         IF(V244="INM",IF(AG244="VF",AF244*AB244,""),
            IF(V244="PE",4.6,
            IF(V244="AL",7,"")))),
   IF('Dados da OS'!$D$8=Parâmetros!$B$6,
      IF(V244="ALI",35,IF(V244="AIE",15,"")),""))
    )
)</f>
        <v/>
      </c>
      <c r="AJ244" s="82" t="str">
        <f t="shared" si="28"/>
        <v/>
      </c>
      <c r="AK244" s="84"/>
      <c r="AL244" s="85" t="s">
        <v>21</v>
      </c>
      <c r="AM244" s="86"/>
      <c r="AN244" s="85"/>
      <c r="AO244" s="87"/>
      <c r="AP244" s="85"/>
      <c r="AQ244" s="86"/>
      <c r="AR244" s="85"/>
    </row>
    <row r="245" spans="1:44" ht="15.75" customHeight="1">
      <c r="A245" s="54"/>
      <c r="B245" s="100"/>
      <c r="C245" s="55"/>
      <c r="D245" s="55"/>
      <c r="E245" s="56"/>
      <c r="F245" s="55"/>
      <c r="G245" s="56"/>
      <c r="H245" s="55"/>
      <c r="I245" s="64"/>
      <c r="J245" s="57" t="str">
        <f t="shared" si="29"/>
        <v/>
      </c>
      <c r="K245" s="57" t="str">
        <f t="shared" si="30"/>
        <v/>
      </c>
      <c r="L245" s="57" t="str">
        <f xml:space="preserve">
IF(OR('Dados da OS'!$D$8=Parâmetros!$B$3,'Dados da OS'!$D$8=Parâmetros!$B$4),
  IF(OR(ISBLANK(D245),ISBLANK(F245)),
     IF(OR(B245="ALI",B245="AIE"),"L",IF(ISBLANK(B245),"","A")),
     IF(B245="EE",IF(F245&gt;=3,IF(D245&gt;=5,"H","A"),
     IF(F245&gt;=2,IF(D245&gt;=16,"H",IF(D245&lt;=4,"L","A")),IF(D245&lt;=15,"L","A"))),
     IF(OR(B245="SE",B245="CE"),IF(F245&gt;=4,IF(D245&gt;=6,"H","A"),IF(F245&gt;=2,IF(D245&gt;=20,"H",IF(D245&lt;=5,"L","A")),IF(D245&lt;=19,"L","A"))),
     IF(OR(B245="ALI",B245="AIE"),IF(F245&gt;=6,IF(D245&gt;=20,"H","A"),IF(F245&gt;=2,IF(D245&gt;=51,"H",IF(D245&lt;=19,"L","A")),IF(D245&lt;=50,"L","A"))))))),
IF('Dados da OS'!$D$8=Parâmetros!$B$6,"Indicativa",
IF('Dados da OS'!$D$8=Parâmetros!$B$5,"PFS","")))</f>
        <v/>
      </c>
      <c r="M245" s="57">
        <f>IFERROR(VLOOKUP(C245,'Fatores de Impacto e INMs'!$A$3:$D$32,3,0),1)</f>
        <v>1</v>
      </c>
      <c r="N245" s="57">
        <f>IFERROR(VLOOKUP(C245,'Fatores de Impacto e INMs'!$A$3:$E$32,5,0),1)</f>
        <v>1</v>
      </c>
      <c r="O245" s="63" t="str">
        <f xml:space="preserve">
IF(OR('Dados da OS'!$D$8="Selecione o tipo da contagem",ISBLANK('Dados da OS'!$D$8),B245="INM",B245="N/A",ISBLANK(B245),ISBLANK(C245),N245="VF"),"-",
   IF('Dados da OS'!$D$8=Parâmetros!$B$3,
      IF(OR(ISBLANK(D245),ISBLANK(F245)),"-",
         IF(L245="L","Baixa",IF(L245="A","Média",IF(L245="H","Alta","-")))),
      IF('Dados da OS'!$D$8=Parâmetros!$B$4,
         IF(OR(B245="ALI",B245="AIE"),"Baixa",IF(OR(B245="EE",B245="SE",B245="CE"),"Média","-")),
         IF(OR('Dados da OS'!$D$8=Parâmetros!$B$5,'Dados da OS'!$D$8=Parâmetros!$B$6),"-"))))</f>
        <v>-</v>
      </c>
      <c r="P245" s="59" t="str">
        <f xml:space="preserve">
IF(OR(ISBLANK(B245),ISBLANK(C245),B245="N/A",ISBLANK('Dados da OS'!$D$8)),"",
   IF(OR('Dados da OS'!$D$8=Parâmetros!$B$3,'Dados da OS'!$D$8=Parâmetros!$B$4),
      IF(OR(AND(B245="INM",N245&lt;&gt;"VF"),AND(N245="VF",B245&lt;&gt;"INM")),"",
        IF(AND(B245="INM",N245="VF"),IF(ISBLANK(H245),"",M245*H245),
        IF('Dados da OS'!$D$8=Parâmetros!$B$4,
           IF(OR(B245="CE",B245="EE"),4,IF(B245="SE",5,IF(B245="ALI",7,IF(B245="AIE",5,"")))),
        IF('Dados da OS'!$D$8=Parâmetros!$B$3,
           IF(OR(ISBLANK(D245),ISBLANK(F245)),"",
              IF(B245="ALI",IF(L245="L",7,IF(L245="A",10,15)),
                 IF(B245="AIE",IF(L245="L",5,IF(L245="A",7,10)),
                    IF(B245="SE",IF(L245="L",4,IF(L245="A",5,7)),
                       IF(OR(B245="EE",B245="CE"),IF(L245="L",3,IF(L245="A",4,6)),""))))))))),
   IF('Dados da OS'!$D$8=Parâmetros!$B$5,
      IF(OR(AND(B245="INM",N245&lt;&gt;"VF"),AND(N245="VF",B245&lt;&gt;"INM")),"",
         IF(B245="INM",IF(N245="VF",M245*H245,""),
            IF(B245="PE",4.6,
            IF(B245="AL",7,"")))),
   IF('Dados da OS'!$D$8=Parâmetros!$B$6,
      IF(B245="ALI",35,IF(B245="AIE",15,"")),""))
    )
)</f>
        <v/>
      </c>
      <c r="Q245" s="60" t="str">
        <f t="shared" si="25"/>
        <v/>
      </c>
      <c r="R245" s="61"/>
      <c r="S245" s="62"/>
      <c r="T245" s="80" t="s">
        <v>21</v>
      </c>
      <c r="U245" s="81"/>
      <c r="V245" s="99"/>
      <c r="W245" s="55"/>
      <c r="X245" s="55"/>
      <c r="Y245" s="56"/>
      <c r="Z245" s="55"/>
      <c r="AA245" s="56"/>
      <c r="AB245" s="55"/>
      <c r="AC245" s="57" t="str">
        <f t="shared" si="26"/>
        <v/>
      </c>
      <c r="AD245" s="57" t="str">
        <f t="shared" si="27"/>
        <v/>
      </c>
      <c r="AE245" s="57" t="str">
        <f xml:space="preserve">
IF(OR('Dados da OS'!$D$8=Parâmetros!$B$3,'Dados da OS'!$D$8=Parâmetros!$B$4),
  IF(OR(ISBLANK(X245),ISBLANK(Z245)),
     IF(OR(V245="ALI",V245="AIE"),"L",IF(ISBLANK(V245),"","A")),
     IF(V245="EE",IF(Z245&gt;=3,IF(X245&gt;=5,"H","A"),
     IF(Z245&gt;=2,IF(X245&gt;=16,"H",IF(X245&lt;=4,"L","A")),IF(X245&lt;=15,"L","A"))),
     IF(OR(V245="SE",V245="CE"),IF(Z245&gt;=4,IF(X245&gt;=6,"H","A"),IF(Z245&gt;=2,IF(X245&gt;=20,"H",IF(X245&lt;=5,"L","A")),IF(X245&lt;=19,"L","A"))),
     IF(OR(V245="ALI",V245="AIE"),IF(Z245&gt;=6,IF(X245&gt;=20,"H","A"),IF(Z245&gt;=2,IF(X245&gt;=51,"H",IF(X245&lt;=19,"L","A")),IF(X245&lt;=50,"L","A"))))))),
IF('Dados da OS'!$D$8=Parâmetros!$B$6,"Indicativa",
IF('Dados da OS'!$D$8=Parâmetros!$B$5,"PFS","")))</f>
        <v/>
      </c>
      <c r="AF245" s="57">
        <f>IFERROR(VLOOKUP(W245,'Fatores de Impacto e INMs'!$A$3:$D$32,3,0),1)</f>
        <v>1</v>
      </c>
      <c r="AG245" s="57">
        <f>IFERROR(VLOOKUP(W245,'Fatores de Impacto e INMs'!$A$3:$E$32,5,0),1)</f>
        <v>1</v>
      </c>
      <c r="AH245" s="82" t="str">
        <f xml:space="preserve">
IF(OR('Dados da OS'!$D$8="Selecione o tipo da contagem",ISBLANK('Dados da OS'!$D$8),V245="INM",V245="N/A",ISBLANK(V245),ISBLANK(W245),AG245="VF"),"-",
   IF('Dados da OS'!$D$8=Parâmetros!$B$3,
      IF(OR(ISBLANK(X245),ISBLANK(Z245)),"-",
         IF(AE245="L","Baixa",IF(AE245="A","Média",IF(AE245="H","Alta","-")))),
      IF('Dados da OS'!$D$8=Parâmetros!$B$4,
         IF(OR(V245="ALI",V245="AIE"),"Baixa",IF(OR(V245="EE",V245="SE",V245="CE"),"Média","-")),
         IF(OR('Dados da OS'!$D$8=Parâmetros!$B$5,'Dados da OS'!$D$8=Parâmetros!$B$6),"-"))))</f>
        <v>-</v>
      </c>
      <c r="AI245" s="83" t="str">
        <f xml:space="preserve">
IF(OR(ISBLANK(V245),ISBLANK(U245),ISBLANK(W245),V245="N/A",ISBLANK('Dados da OS'!$D$8)),"",
   IF(OR('Dados da OS'!$D$8=Parâmetros!$B$3,'Dados da OS'!$D$8=Parâmetros!$B$4),
      IF(OR(AND(V245="INM",AG245&lt;&gt;"VF"),AND(AG245="VF",V245&lt;&gt;"INM")),"",
        IF(AND(V245="INM",AG245="VF"),IF(ISBLANK(AB245),"",AF245*AB245),
        IF('Dados da OS'!$D$8=Parâmetros!$B$4,
           IF(OR(V245="CE",V245="EE"),4,IF(V245="SE",5,IF(V245="ALI",7,IF(V245="AIE",5,"")))),
        IF('Dados da OS'!$D$8=Parâmetros!$B$3,
           IF(OR(ISBLANK(X245),ISBLANK(Z245)),"",
              IF(V245="ALI",IF(AE245="L",7,IF(AE245="A",10,15)),
                 IF(V245="AIE",IF(AE245="L",5,IF(AE245="A",7,10)),
                    IF(V245="SE",IF(AE245="L",4,IF(AE245="A",5,7)),
                       IF(OR(V245="EE",V245="CE"),IF(AE245="L",3,IF(AE245="A",4,6)),""))))))))),
   IF('Dados da OS'!$D$8=Parâmetros!$B$5,
      IF(OR(AND(V245="INM",AG245&lt;&gt;"VF"),AND(AG245="VF",V245&lt;&gt;"INM")),"",
         IF(V245="INM",IF(AG245="VF",AF245*AB245,""),
            IF(V245="PE",4.6,
            IF(V245="AL",7,"")))),
   IF('Dados da OS'!$D$8=Parâmetros!$B$6,
      IF(V245="ALI",35,IF(V245="AIE",15,"")),""))
    )
)</f>
        <v/>
      </c>
      <c r="AJ245" s="82" t="str">
        <f t="shared" si="28"/>
        <v/>
      </c>
      <c r="AK245" s="84"/>
      <c r="AL245" s="85" t="s">
        <v>21</v>
      </c>
      <c r="AM245" s="86"/>
      <c r="AN245" s="85"/>
      <c r="AO245" s="87"/>
      <c r="AP245" s="85"/>
      <c r="AQ245" s="86"/>
      <c r="AR245" s="85"/>
    </row>
    <row r="246" spans="1:44" ht="15.75" customHeight="1">
      <c r="A246" s="54"/>
      <c r="B246" s="100"/>
      <c r="C246" s="55"/>
      <c r="D246" s="55"/>
      <c r="E246" s="56"/>
      <c r="F246" s="55"/>
      <c r="G246" s="56"/>
      <c r="H246" s="55"/>
      <c r="I246" s="64"/>
      <c r="J246" s="57" t="str">
        <f t="shared" si="29"/>
        <v/>
      </c>
      <c r="K246" s="57" t="str">
        <f t="shared" si="30"/>
        <v/>
      </c>
      <c r="L246" s="57" t="str">
        <f xml:space="preserve">
IF(OR('Dados da OS'!$D$8=Parâmetros!$B$3,'Dados da OS'!$D$8=Parâmetros!$B$4),
  IF(OR(ISBLANK(D246),ISBLANK(F246)),
     IF(OR(B246="ALI",B246="AIE"),"L",IF(ISBLANK(B246),"","A")),
     IF(B246="EE",IF(F246&gt;=3,IF(D246&gt;=5,"H","A"),
     IF(F246&gt;=2,IF(D246&gt;=16,"H",IF(D246&lt;=4,"L","A")),IF(D246&lt;=15,"L","A"))),
     IF(OR(B246="SE",B246="CE"),IF(F246&gt;=4,IF(D246&gt;=6,"H","A"),IF(F246&gt;=2,IF(D246&gt;=20,"H",IF(D246&lt;=5,"L","A")),IF(D246&lt;=19,"L","A"))),
     IF(OR(B246="ALI",B246="AIE"),IF(F246&gt;=6,IF(D246&gt;=20,"H","A"),IF(F246&gt;=2,IF(D246&gt;=51,"H",IF(D246&lt;=19,"L","A")),IF(D246&lt;=50,"L","A"))))))),
IF('Dados da OS'!$D$8=Parâmetros!$B$6,"Indicativa",
IF('Dados da OS'!$D$8=Parâmetros!$B$5,"PFS","")))</f>
        <v/>
      </c>
      <c r="M246" s="57">
        <f>IFERROR(VLOOKUP(C246,'Fatores de Impacto e INMs'!$A$3:$D$32,3,0),1)</f>
        <v>1</v>
      </c>
      <c r="N246" s="57">
        <f>IFERROR(VLOOKUP(C246,'Fatores de Impacto e INMs'!$A$3:$E$32,5,0),1)</f>
        <v>1</v>
      </c>
      <c r="O246" s="63" t="str">
        <f xml:space="preserve">
IF(OR('Dados da OS'!$D$8="Selecione o tipo da contagem",ISBLANK('Dados da OS'!$D$8),B246="INM",B246="N/A",ISBLANK(B246),ISBLANK(C246),N246="VF"),"-",
   IF('Dados da OS'!$D$8=Parâmetros!$B$3,
      IF(OR(ISBLANK(D246),ISBLANK(F246)),"-",
         IF(L246="L","Baixa",IF(L246="A","Média",IF(L246="H","Alta","-")))),
      IF('Dados da OS'!$D$8=Parâmetros!$B$4,
         IF(OR(B246="ALI",B246="AIE"),"Baixa",IF(OR(B246="EE",B246="SE",B246="CE"),"Média","-")),
         IF(OR('Dados da OS'!$D$8=Parâmetros!$B$5,'Dados da OS'!$D$8=Parâmetros!$B$6),"-"))))</f>
        <v>-</v>
      </c>
      <c r="P246" s="59" t="str">
        <f xml:space="preserve">
IF(OR(ISBLANK(B246),ISBLANK(C246),B246="N/A",ISBLANK('Dados da OS'!$D$8)),"",
   IF(OR('Dados da OS'!$D$8=Parâmetros!$B$3,'Dados da OS'!$D$8=Parâmetros!$B$4),
      IF(OR(AND(B246="INM",N246&lt;&gt;"VF"),AND(N246="VF",B246&lt;&gt;"INM")),"",
        IF(AND(B246="INM",N246="VF"),IF(ISBLANK(H246),"",M246*H246),
        IF('Dados da OS'!$D$8=Parâmetros!$B$4,
           IF(OR(B246="CE",B246="EE"),4,IF(B246="SE",5,IF(B246="ALI",7,IF(B246="AIE",5,"")))),
        IF('Dados da OS'!$D$8=Parâmetros!$B$3,
           IF(OR(ISBLANK(D246),ISBLANK(F246)),"",
              IF(B246="ALI",IF(L246="L",7,IF(L246="A",10,15)),
                 IF(B246="AIE",IF(L246="L",5,IF(L246="A",7,10)),
                    IF(B246="SE",IF(L246="L",4,IF(L246="A",5,7)),
                       IF(OR(B246="EE",B246="CE"),IF(L246="L",3,IF(L246="A",4,6)),""))))))))),
   IF('Dados da OS'!$D$8=Parâmetros!$B$5,
      IF(OR(AND(B246="INM",N246&lt;&gt;"VF"),AND(N246="VF",B246&lt;&gt;"INM")),"",
         IF(B246="INM",IF(N246="VF",M246*H246,""),
            IF(B246="PE",4.6,
            IF(B246="AL",7,"")))),
   IF('Dados da OS'!$D$8=Parâmetros!$B$6,
      IF(B246="ALI",35,IF(B246="AIE",15,"")),""))
    )
)</f>
        <v/>
      </c>
      <c r="Q246" s="60" t="str">
        <f t="shared" si="25"/>
        <v/>
      </c>
      <c r="R246" s="61"/>
      <c r="S246" s="62"/>
      <c r="T246" s="80" t="s">
        <v>21</v>
      </c>
      <c r="U246" s="81"/>
      <c r="V246" s="99"/>
      <c r="W246" s="55"/>
      <c r="X246" s="55"/>
      <c r="Y246" s="56"/>
      <c r="Z246" s="55"/>
      <c r="AA246" s="56"/>
      <c r="AB246" s="55"/>
      <c r="AC246" s="57" t="str">
        <f t="shared" si="26"/>
        <v/>
      </c>
      <c r="AD246" s="57" t="str">
        <f t="shared" si="27"/>
        <v/>
      </c>
      <c r="AE246" s="57" t="str">
        <f xml:space="preserve">
IF(OR('Dados da OS'!$D$8=Parâmetros!$B$3,'Dados da OS'!$D$8=Parâmetros!$B$4),
  IF(OR(ISBLANK(X246),ISBLANK(Z246)),
     IF(OR(V246="ALI",V246="AIE"),"L",IF(ISBLANK(V246),"","A")),
     IF(V246="EE",IF(Z246&gt;=3,IF(X246&gt;=5,"H","A"),
     IF(Z246&gt;=2,IF(X246&gt;=16,"H",IF(X246&lt;=4,"L","A")),IF(X246&lt;=15,"L","A"))),
     IF(OR(V246="SE",V246="CE"),IF(Z246&gt;=4,IF(X246&gt;=6,"H","A"),IF(Z246&gt;=2,IF(X246&gt;=20,"H",IF(X246&lt;=5,"L","A")),IF(X246&lt;=19,"L","A"))),
     IF(OR(V246="ALI",V246="AIE"),IF(Z246&gt;=6,IF(X246&gt;=20,"H","A"),IF(Z246&gt;=2,IF(X246&gt;=51,"H",IF(X246&lt;=19,"L","A")),IF(X246&lt;=50,"L","A"))))))),
IF('Dados da OS'!$D$8=Parâmetros!$B$6,"Indicativa",
IF('Dados da OS'!$D$8=Parâmetros!$B$5,"PFS","")))</f>
        <v/>
      </c>
      <c r="AF246" s="57">
        <f>IFERROR(VLOOKUP(W246,'Fatores de Impacto e INMs'!$A$3:$D$32,3,0),1)</f>
        <v>1</v>
      </c>
      <c r="AG246" s="57">
        <f>IFERROR(VLOOKUP(W246,'Fatores de Impacto e INMs'!$A$3:$E$32,5,0),1)</f>
        <v>1</v>
      </c>
      <c r="AH246" s="82" t="str">
        <f xml:space="preserve">
IF(OR('Dados da OS'!$D$8="Selecione o tipo da contagem",ISBLANK('Dados da OS'!$D$8),V246="INM",V246="N/A",ISBLANK(V246),ISBLANK(W246),AG246="VF"),"-",
   IF('Dados da OS'!$D$8=Parâmetros!$B$3,
      IF(OR(ISBLANK(X246),ISBLANK(Z246)),"-",
         IF(AE246="L","Baixa",IF(AE246="A","Média",IF(AE246="H","Alta","-")))),
      IF('Dados da OS'!$D$8=Parâmetros!$B$4,
         IF(OR(V246="ALI",V246="AIE"),"Baixa",IF(OR(V246="EE",V246="SE",V246="CE"),"Média","-")),
         IF(OR('Dados da OS'!$D$8=Parâmetros!$B$5,'Dados da OS'!$D$8=Parâmetros!$B$6),"-"))))</f>
        <v>-</v>
      </c>
      <c r="AI246" s="83" t="str">
        <f xml:space="preserve">
IF(OR(ISBLANK(V246),ISBLANK(U246),ISBLANK(W246),V246="N/A",ISBLANK('Dados da OS'!$D$8)),"",
   IF(OR('Dados da OS'!$D$8=Parâmetros!$B$3,'Dados da OS'!$D$8=Parâmetros!$B$4),
      IF(OR(AND(V246="INM",AG246&lt;&gt;"VF"),AND(AG246="VF",V246&lt;&gt;"INM")),"",
        IF(AND(V246="INM",AG246="VF"),IF(ISBLANK(AB246),"",AF246*AB246),
        IF('Dados da OS'!$D$8=Parâmetros!$B$4,
           IF(OR(V246="CE",V246="EE"),4,IF(V246="SE",5,IF(V246="ALI",7,IF(V246="AIE",5,"")))),
        IF('Dados da OS'!$D$8=Parâmetros!$B$3,
           IF(OR(ISBLANK(X246),ISBLANK(Z246)),"",
              IF(V246="ALI",IF(AE246="L",7,IF(AE246="A",10,15)),
                 IF(V246="AIE",IF(AE246="L",5,IF(AE246="A",7,10)),
                    IF(V246="SE",IF(AE246="L",4,IF(AE246="A",5,7)),
                       IF(OR(V246="EE",V246="CE"),IF(AE246="L",3,IF(AE246="A",4,6)),""))))))))),
   IF('Dados da OS'!$D$8=Parâmetros!$B$5,
      IF(OR(AND(V246="INM",AG246&lt;&gt;"VF"),AND(AG246="VF",V246&lt;&gt;"INM")),"",
         IF(V246="INM",IF(AG246="VF",AF246*AB246,""),
            IF(V246="PE",4.6,
            IF(V246="AL",7,"")))),
   IF('Dados da OS'!$D$8=Parâmetros!$B$6,
      IF(V246="ALI",35,IF(V246="AIE",15,"")),""))
    )
)</f>
        <v/>
      </c>
      <c r="AJ246" s="82" t="str">
        <f t="shared" si="28"/>
        <v/>
      </c>
      <c r="AK246" s="84"/>
      <c r="AL246" s="85" t="s">
        <v>21</v>
      </c>
      <c r="AM246" s="86"/>
      <c r="AN246" s="85"/>
      <c r="AO246" s="87"/>
      <c r="AP246" s="85"/>
      <c r="AQ246" s="86"/>
      <c r="AR246" s="85"/>
    </row>
    <row r="247" spans="1:44" ht="15.75" customHeight="1">
      <c r="A247" s="54"/>
      <c r="B247" s="100"/>
      <c r="C247" s="55"/>
      <c r="D247" s="55"/>
      <c r="E247" s="56"/>
      <c r="F247" s="55"/>
      <c r="G247" s="56"/>
      <c r="H247" s="55"/>
      <c r="I247" s="64"/>
      <c r="J247" s="57" t="str">
        <f t="shared" si="29"/>
        <v/>
      </c>
      <c r="K247" s="57" t="str">
        <f t="shared" si="30"/>
        <v/>
      </c>
      <c r="L247" s="57" t="str">
        <f xml:space="preserve">
IF(OR('Dados da OS'!$D$8=Parâmetros!$B$3,'Dados da OS'!$D$8=Parâmetros!$B$4),
  IF(OR(ISBLANK(D247),ISBLANK(F247)),
     IF(OR(B247="ALI",B247="AIE"),"L",IF(ISBLANK(B247),"","A")),
     IF(B247="EE",IF(F247&gt;=3,IF(D247&gt;=5,"H","A"),
     IF(F247&gt;=2,IF(D247&gt;=16,"H",IF(D247&lt;=4,"L","A")),IF(D247&lt;=15,"L","A"))),
     IF(OR(B247="SE",B247="CE"),IF(F247&gt;=4,IF(D247&gt;=6,"H","A"),IF(F247&gt;=2,IF(D247&gt;=20,"H",IF(D247&lt;=5,"L","A")),IF(D247&lt;=19,"L","A"))),
     IF(OR(B247="ALI",B247="AIE"),IF(F247&gt;=6,IF(D247&gt;=20,"H","A"),IF(F247&gt;=2,IF(D247&gt;=51,"H",IF(D247&lt;=19,"L","A")),IF(D247&lt;=50,"L","A"))))))),
IF('Dados da OS'!$D$8=Parâmetros!$B$6,"Indicativa",
IF('Dados da OS'!$D$8=Parâmetros!$B$5,"PFS","")))</f>
        <v/>
      </c>
      <c r="M247" s="57">
        <f>IFERROR(VLOOKUP(C247,'Fatores de Impacto e INMs'!$A$3:$D$32,3,0),1)</f>
        <v>1</v>
      </c>
      <c r="N247" s="57">
        <f>IFERROR(VLOOKUP(C247,'Fatores de Impacto e INMs'!$A$3:$E$32,5,0),1)</f>
        <v>1</v>
      </c>
      <c r="O247" s="63" t="str">
        <f xml:space="preserve">
IF(OR('Dados da OS'!$D$8="Selecione o tipo da contagem",ISBLANK('Dados da OS'!$D$8),B247="INM",B247="N/A",ISBLANK(B247),ISBLANK(C247),N247="VF"),"-",
   IF('Dados da OS'!$D$8=Parâmetros!$B$3,
      IF(OR(ISBLANK(D247),ISBLANK(F247)),"-",
         IF(L247="L","Baixa",IF(L247="A","Média",IF(L247="H","Alta","-")))),
      IF('Dados da OS'!$D$8=Parâmetros!$B$4,
         IF(OR(B247="ALI",B247="AIE"),"Baixa",IF(OR(B247="EE",B247="SE",B247="CE"),"Média","-")),
         IF(OR('Dados da OS'!$D$8=Parâmetros!$B$5,'Dados da OS'!$D$8=Parâmetros!$B$6),"-"))))</f>
        <v>-</v>
      </c>
      <c r="P247" s="59" t="str">
        <f xml:space="preserve">
IF(OR(ISBLANK(B247),ISBLANK(C247),B247="N/A",ISBLANK('Dados da OS'!$D$8)),"",
   IF(OR('Dados da OS'!$D$8=Parâmetros!$B$3,'Dados da OS'!$D$8=Parâmetros!$B$4),
      IF(OR(AND(B247="INM",N247&lt;&gt;"VF"),AND(N247="VF",B247&lt;&gt;"INM")),"",
        IF(AND(B247="INM",N247="VF"),IF(ISBLANK(H247),"",M247*H247),
        IF('Dados da OS'!$D$8=Parâmetros!$B$4,
           IF(OR(B247="CE",B247="EE"),4,IF(B247="SE",5,IF(B247="ALI",7,IF(B247="AIE",5,"")))),
        IF('Dados da OS'!$D$8=Parâmetros!$B$3,
           IF(OR(ISBLANK(D247),ISBLANK(F247)),"",
              IF(B247="ALI",IF(L247="L",7,IF(L247="A",10,15)),
                 IF(B247="AIE",IF(L247="L",5,IF(L247="A",7,10)),
                    IF(B247="SE",IF(L247="L",4,IF(L247="A",5,7)),
                       IF(OR(B247="EE",B247="CE"),IF(L247="L",3,IF(L247="A",4,6)),""))))))))),
   IF('Dados da OS'!$D$8=Parâmetros!$B$5,
      IF(OR(AND(B247="INM",N247&lt;&gt;"VF"),AND(N247="VF",B247&lt;&gt;"INM")),"",
         IF(B247="INM",IF(N247="VF",M247*H247,""),
            IF(B247="PE",4.6,
            IF(B247="AL",7,"")))),
   IF('Dados da OS'!$D$8=Parâmetros!$B$6,
      IF(B247="ALI",35,IF(B247="AIE",15,"")),""))
    )
)</f>
        <v/>
      </c>
      <c r="Q247" s="60" t="str">
        <f t="shared" si="25"/>
        <v/>
      </c>
      <c r="R247" s="61"/>
      <c r="S247" s="62"/>
      <c r="T247" s="80" t="s">
        <v>21</v>
      </c>
      <c r="U247" s="81"/>
      <c r="V247" s="99"/>
      <c r="W247" s="55"/>
      <c r="X247" s="55"/>
      <c r="Y247" s="56"/>
      <c r="Z247" s="55"/>
      <c r="AA247" s="56"/>
      <c r="AB247" s="55"/>
      <c r="AC247" s="57" t="str">
        <f t="shared" si="26"/>
        <v/>
      </c>
      <c r="AD247" s="57" t="str">
        <f t="shared" si="27"/>
        <v/>
      </c>
      <c r="AE247" s="57" t="str">
        <f xml:space="preserve">
IF(OR('Dados da OS'!$D$8=Parâmetros!$B$3,'Dados da OS'!$D$8=Parâmetros!$B$4),
  IF(OR(ISBLANK(X247),ISBLANK(Z247)),
     IF(OR(V247="ALI",V247="AIE"),"L",IF(ISBLANK(V247),"","A")),
     IF(V247="EE",IF(Z247&gt;=3,IF(X247&gt;=5,"H","A"),
     IF(Z247&gt;=2,IF(X247&gt;=16,"H",IF(X247&lt;=4,"L","A")),IF(X247&lt;=15,"L","A"))),
     IF(OR(V247="SE",V247="CE"),IF(Z247&gt;=4,IF(X247&gt;=6,"H","A"),IF(Z247&gt;=2,IF(X247&gt;=20,"H",IF(X247&lt;=5,"L","A")),IF(X247&lt;=19,"L","A"))),
     IF(OR(V247="ALI",V247="AIE"),IF(Z247&gt;=6,IF(X247&gt;=20,"H","A"),IF(Z247&gt;=2,IF(X247&gt;=51,"H",IF(X247&lt;=19,"L","A")),IF(X247&lt;=50,"L","A"))))))),
IF('Dados da OS'!$D$8=Parâmetros!$B$6,"Indicativa",
IF('Dados da OS'!$D$8=Parâmetros!$B$5,"PFS","")))</f>
        <v/>
      </c>
      <c r="AF247" s="57">
        <f>IFERROR(VLOOKUP(W247,'Fatores de Impacto e INMs'!$A$3:$D$32,3,0),1)</f>
        <v>1</v>
      </c>
      <c r="AG247" s="57">
        <f>IFERROR(VLOOKUP(W247,'Fatores de Impacto e INMs'!$A$3:$E$32,5,0),1)</f>
        <v>1</v>
      </c>
      <c r="AH247" s="82" t="str">
        <f xml:space="preserve">
IF(OR('Dados da OS'!$D$8="Selecione o tipo da contagem",ISBLANK('Dados da OS'!$D$8),V247="INM",V247="N/A",ISBLANK(V247),ISBLANK(W247),AG247="VF"),"-",
   IF('Dados da OS'!$D$8=Parâmetros!$B$3,
      IF(OR(ISBLANK(X247),ISBLANK(Z247)),"-",
         IF(AE247="L","Baixa",IF(AE247="A","Média",IF(AE247="H","Alta","-")))),
      IF('Dados da OS'!$D$8=Parâmetros!$B$4,
         IF(OR(V247="ALI",V247="AIE"),"Baixa",IF(OR(V247="EE",V247="SE",V247="CE"),"Média","-")),
         IF(OR('Dados da OS'!$D$8=Parâmetros!$B$5,'Dados da OS'!$D$8=Parâmetros!$B$6),"-"))))</f>
        <v>-</v>
      </c>
      <c r="AI247" s="83" t="str">
        <f xml:space="preserve">
IF(OR(ISBLANK(V247),ISBLANK(U247),ISBLANK(W247),V247="N/A",ISBLANK('Dados da OS'!$D$8)),"",
   IF(OR('Dados da OS'!$D$8=Parâmetros!$B$3,'Dados da OS'!$D$8=Parâmetros!$B$4),
      IF(OR(AND(V247="INM",AG247&lt;&gt;"VF"),AND(AG247="VF",V247&lt;&gt;"INM")),"",
        IF(AND(V247="INM",AG247="VF"),IF(ISBLANK(AB247),"",AF247*AB247),
        IF('Dados da OS'!$D$8=Parâmetros!$B$4,
           IF(OR(V247="CE",V247="EE"),4,IF(V247="SE",5,IF(V247="ALI",7,IF(V247="AIE",5,"")))),
        IF('Dados da OS'!$D$8=Parâmetros!$B$3,
           IF(OR(ISBLANK(X247),ISBLANK(Z247)),"",
              IF(V247="ALI",IF(AE247="L",7,IF(AE247="A",10,15)),
                 IF(V247="AIE",IF(AE247="L",5,IF(AE247="A",7,10)),
                    IF(V247="SE",IF(AE247="L",4,IF(AE247="A",5,7)),
                       IF(OR(V247="EE",V247="CE"),IF(AE247="L",3,IF(AE247="A",4,6)),""))))))))),
   IF('Dados da OS'!$D$8=Parâmetros!$B$5,
      IF(OR(AND(V247="INM",AG247&lt;&gt;"VF"),AND(AG247="VF",V247&lt;&gt;"INM")),"",
         IF(V247="INM",IF(AG247="VF",AF247*AB247,""),
            IF(V247="PE",4.6,
            IF(V247="AL",7,"")))),
   IF('Dados da OS'!$D$8=Parâmetros!$B$6,
      IF(V247="ALI",35,IF(V247="AIE",15,"")),""))
    )
)</f>
        <v/>
      </c>
      <c r="AJ247" s="82" t="str">
        <f t="shared" si="28"/>
        <v/>
      </c>
      <c r="AK247" s="84"/>
      <c r="AL247" s="85" t="s">
        <v>21</v>
      </c>
      <c r="AM247" s="86"/>
      <c r="AN247" s="85"/>
      <c r="AO247" s="87"/>
      <c r="AP247" s="85"/>
      <c r="AQ247" s="86"/>
      <c r="AR247" s="85"/>
    </row>
    <row r="248" spans="1:44" ht="15.75" customHeight="1">
      <c r="A248" s="54"/>
      <c r="B248" s="100"/>
      <c r="C248" s="55"/>
      <c r="D248" s="55"/>
      <c r="E248" s="56"/>
      <c r="F248" s="55"/>
      <c r="G248" s="56"/>
      <c r="H248" s="55"/>
      <c r="I248" s="64"/>
      <c r="J248" s="57" t="str">
        <f t="shared" si="29"/>
        <v/>
      </c>
      <c r="K248" s="57" t="str">
        <f t="shared" si="30"/>
        <v/>
      </c>
      <c r="L248" s="57" t="str">
        <f xml:space="preserve">
IF(OR('Dados da OS'!$D$8=Parâmetros!$B$3,'Dados da OS'!$D$8=Parâmetros!$B$4),
  IF(OR(ISBLANK(D248),ISBLANK(F248)),
     IF(OR(B248="ALI",B248="AIE"),"L",IF(ISBLANK(B248),"","A")),
     IF(B248="EE",IF(F248&gt;=3,IF(D248&gt;=5,"H","A"),
     IF(F248&gt;=2,IF(D248&gt;=16,"H",IF(D248&lt;=4,"L","A")),IF(D248&lt;=15,"L","A"))),
     IF(OR(B248="SE",B248="CE"),IF(F248&gt;=4,IF(D248&gt;=6,"H","A"),IF(F248&gt;=2,IF(D248&gt;=20,"H",IF(D248&lt;=5,"L","A")),IF(D248&lt;=19,"L","A"))),
     IF(OR(B248="ALI",B248="AIE"),IF(F248&gt;=6,IF(D248&gt;=20,"H","A"),IF(F248&gt;=2,IF(D248&gt;=51,"H",IF(D248&lt;=19,"L","A")),IF(D248&lt;=50,"L","A"))))))),
IF('Dados da OS'!$D$8=Parâmetros!$B$6,"Indicativa",
IF('Dados da OS'!$D$8=Parâmetros!$B$5,"PFS","")))</f>
        <v/>
      </c>
      <c r="M248" s="57">
        <f>IFERROR(VLOOKUP(C248,'Fatores de Impacto e INMs'!$A$3:$D$32,3,0),1)</f>
        <v>1</v>
      </c>
      <c r="N248" s="57">
        <f>IFERROR(VLOOKUP(C248,'Fatores de Impacto e INMs'!$A$3:$E$32,5,0),1)</f>
        <v>1</v>
      </c>
      <c r="O248" s="63" t="str">
        <f xml:space="preserve">
IF(OR('Dados da OS'!$D$8="Selecione o tipo da contagem",ISBLANK('Dados da OS'!$D$8),B248="INM",B248="N/A",ISBLANK(B248),ISBLANK(C248),N248="VF"),"-",
   IF('Dados da OS'!$D$8=Parâmetros!$B$3,
      IF(OR(ISBLANK(D248),ISBLANK(F248)),"-",
         IF(L248="L","Baixa",IF(L248="A","Média",IF(L248="H","Alta","-")))),
      IF('Dados da OS'!$D$8=Parâmetros!$B$4,
         IF(OR(B248="ALI",B248="AIE"),"Baixa",IF(OR(B248="EE",B248="SE",B248="CE"),"Média","-")),
         IF(OR('Dados da OS'!$D$8=Parâmetros!$B$5,'Dados da OS'!$D$8=Parâmetros!$B$6),"-"))))</f>
        <v>-</v>
      </c>
      <c r="P248" s="59" t="str">
        <f xml:space="preserve">
IF(OR(ISBLANK(B248),ISBLANK(C248),B248="N/A",ISBLANK('Dados da OS'!$D$8)),"",
   IF(OR('Dados da OS'!$D$8=Parâmetros!$B$3,'Dados da OS'!$D$8=Parâmetros!$B$4),
      IF(OR(AND(B248="INM",N248&lt;&gt;"VF"),AND(N248="VF",B248&lt;&gt;"INM")),"",
        IF(AND(B248="INM",N248="VF"),IF(ISBLANK(H248),"",M248*H248),
        IF('Dados da OS'!$D$8=Parâmetros!$B$4,
           IF(OR(B248="CE",B248="EE"),4,IF(B248="SE",5,IF(B248="ALI",7,IF(B248="AIE",5,"")))),
        IF('Dados da OS'!$D$8=Parâmetros!$B$3,
           IF(OR(ISBLANK(D248),ISBLANK(F248)),"",
              IF(B248="ALI",IF(L248="L",7,IF(L248="A",10,15)),
                 IF(B248="AIE",IF(L248="L",5,IF(L248="A",7,10)),
                    IF(B248="SE",IF(L248="L",4,IF(L248="A",5,7)),
                       IF(OR(B248="EE",B248="CE"),IF(L248="L",3,IF(L248="A",4,6)),""))))))))),
   IF('Dados da OS'!$D$8=Parâmetros!$B$5,
      IF(OR(AND(B248="INM",N248&lt;&gt;"VF"),AND(N248="VF",B248&lt;&gt;"INM")),"",
         IF(B248="INM",IF(N248="VF",M248*H248,""),
            IF(B248="PE",4.6,
            IF(B248="AL",7,"")))),
   IF('Dados da OS'!$D$8=Parâmetros!$B$6,
      IF(B248="ALI",35,IF(B248="AIE",15,"")),""))
    )
)</f>
        <v/>
      </c>
      <c r="Q248" s="60" t="str">
        <f t="shared" si="25"/>
        <v/>
      </c>
      <c r="R248" s="61"/>
      <c r="S248" s="62"/>
      <c r="T248" s="80" t="s">
        <v>21</v>
      </c>
      <c r="U248" s="81"/>
      <c r="V248" s="99"/>
      <c r="W248" s="55"/>
      <c r="X248" s="55"/>
      <c r="Y248" s="56"/>
      <c r="Z248" s="55"/>
      <c r="AA248" s="56"/>
      <c r="AB248" s="55"/>
      <c r="AC248" s="57" t="str">
        <f t="shared" si="26"/>
        <v/>
      </c>
      <c r="AD248" s="57" t="str">
        <f t="shared" si="27"/>
        <v/>
      </c>
      <c r="AE248" s="57" t="str">
        <f xml:space="preserve">
IF(OR('Dados da OS'!$D$8=Parâmetros!$B$3,'Dados da OS'!$D$8=Parâmetros!$B$4),
  IF(OR(ISBLANK(X248),ISBLANK(Z248)),
     IF(OR(V248="ALI",V248="AIE"),"L",IF(ISBLANK(V248),"","A")),
     IF(V248="EE",IF(Z248&gt;=3,IF(X248&gt;=5,"H","A"),
     IF(Z248&gt;=2,IF(X248&gt;=16,"H",IF(X248&lt;=4,"L","A")),IF(X248&lt;=15,"L","A"))),
     IF(OR(V248="SE",V248="CE"),IF(Z248&gt;=4,IF(X248&gt;=6,"H","A"),IF(Z248&gt;=2,IF(X248&gt;=20,"H",IF(X248&lt;=5,"L","A")),IF(X248&lt;=19,"L","A"))),
     IF(OR(V248="ALI",V248="AIE"),IF(Z248&gt;=6,IF(X248&gt;=20,"H","A"),IF(Z248&gt;=2,IF(X248&gt;=51,"H",IF(X248&lt;=19,"L","A")),IF(X248&lt;=50,"L","A"))))))),
IF('Dados da OS'!$D$8=Parâmetros!$B$6,"Indicativa",
IF('Dados da OS'!$D$8=Parâmetros!$B$5,"PFS","")))</f>
        <v/>
      </c>
      <c r="AF248" s="57">
        <f>IFERROR(VLOOKUP(W248,'Fatores de Impacto e INMs'!$A$3:$D$32,3,0),1)</f>
        <v>1</v>
      </c>
      <c r="AG248" s="57">
        <f>IFERROR(VLOOKUP(W248,'Fatores de Impacto e INMs'!$A$3:$E$32,5,0),1)</f>
        <v>1</v>
      </c>
      <c r="AH248" s="82" t="str">
        <f xml:space="preserve">
IF(OR('Dados da OS'!$D$8="Selecione o tipo da contagem",ISBLANK('Dados da OS'!$D$8),V248="INM",V248="N/A",ISBLANK(V248),ISBLANK(W248),AG248="VF"),"-",
   IF('Dados da OS'!$D$8=Parâmetros!$B$3,
      IF(OR(ISBLANK(X248),ISBLANK(Z248)),"-",
         IF(AE248="L","Baixa",IF(AE248="A","Média",IF(AE248="H","Alta","-")))),
      IF('Dados da OS'!$D$8=Parâmetros!$B$4,
         IF(OR(V248="ALI",V248="AIE"),"Baixa",IF(OR(V248="EE",V248="SE",V248="CE"),"Média","-")),
         IF(OR('Dados da OS'!$D$8=Parâmetros!$B$5,'Dados da OS'!$D$8=Parâmetros!$B$6),"-"))))</f>
        <v>-</v>
      </c>
      <c r="AI248" s="83" t="str">
        <f xml:space="preserve">
IF(OR(ISBLANK(V248),ISBLANK(U248),ISBLANK(W248),V248="N/A",ISBLANK('Dados da OS'!$D$8)),"",
   IF(OR('Dados da OS'!$D$8=Parâmetros!$B$3,'Dados da OS'!$D$8=Parâmetros!$B$4),
      IF(OR(AND(V248="INM",AG248&lt;&gt;"VF"),AND(AG248="VF",V248&lt;&gt;"INM")),"",
        IF(AND(V248="INM",AG248="VF"),IF(ISBLANK(AB248),"",AF248*AB248),
        IF('Dados da OS'!$D$8=Parâmetros!$B$4,
           IF(OR(V248="CE",V248="EE"),4,IF(V248="SE",5,IF(V248="ALI",7,IF(V248="AIE",5,"")))),
        IF('Dados da OS'!$D$8=Parâmetros!$B$3,
           IF(OR(ISBLANK(X248),ISBLANK(Z248)),"",
              IF(V248="ALI",IF(AE248="L",7,IF(AE248="A",10,15)),
                 IF(V248="AIE",IF(AE248="L",5,IF(AE248="A",7,10)),
                    IF(V248="SE",IF(AE248="L",4,IF(AE248="A",5,7)),
                       IF(OR(V248="EE",V248="CE"),IF(AE248="L",3,IF(AE248="A",4,6)),""))))))))),
   IF('Dados da OS'!$D$8=Parâmetros!$B$5,
      IF(OR(AND(V248="INM",AG248&lt;&gt;"VF"),AND(AG248="VF",V248&lt;&gt;"INM")),"",
         IF(V248="INM",IF(AG248="VF",AF248*AB248,""),
            IF(V248="PE",4.6,
            IF(V248="AL",7,"")))),
   IF('Dados da OS'!$D$8=Parâmetros!$B$6,
      IF(V248="ALI",35,IF(V248="AIE",15,"")),""))
    )
)</f>
        <v/>
      </c>
      <c r="AJ248" s="82" t="str">
        <f t="shared" si="28"/>
        <v/>
      </c>
      <c r="AK248" s="84"/>
      <c r="AL248" s="85" t="s">
        <v>21</v>
      </c>
      <c r="AM248" s="86"/>
      <c r="AN248" s="85"/>
      <c r="AO248" s="87"/>
      <c r="AP248" s="85"/>
      <c r="AQ248" s="86"/>
      <c r="AR248" s="85"/>
    </row>
    <row r="249" spans="1:44" ht="15.75" customHeight="1">
      <c r="A249" s="54"/>
      <c r="B249" s="100"/>
      <c r="C249" s="55"/>
      <c r="D249" s="55"/>
      <c r="E249" s="56"/>
      <c r="F249" s="55"/>
      <c r="G249" s="56"/>
      <c r="H249" s="55"/>
      <c r="I249" s="64"/>
      <c r="J249" s="57" t="str">
        <f t="shared" si="29"/>
        <v/>
      </c>
      <c r="K249" s="57" t="str">
        <f t="shared" si="30"/>
        <v/>
      </c>
      <c r="L249" s="57" t="str">
        <f xml:space="preserve">
IF(OR('Dados da OS'!$D$8=Parâmetros!$B$3,'Dados da OS'!$D$8=Parâmetros!$B$4),
  IF(OR(ISBLANK(D249),ISBLANK(F249)),
     IF(OR(B249="ALI",B249="AIE"),"L",IF(ISBLANK(B249),"","A")),
     IF(B249="EE",IF(F249&gt;=3,IF(D249&gt;=5,"H","A"),
     IF(F249&gt;=2,IF(D249&gt;=16,"H",IF(D249&lt;=4,"L","A")),IF(D249&lt;=15,"L","A"))),
     IF(OR(B249="SE",B249="CE"),IF(F249&gt;=4,IF(D249&gt;=6,"H","A"),IF(F249&gt;=2,IF(D249&gt;=20,"H",IF(D249&lt;=5,"L","A")),IF(D249&lt;=19,"L","A"))),
     IF(OR(B249="ALI",B249="AIE"),IF(F249&gt;=6,IF(D249&gt;=20,"H","A"),IF(F249&gt;=2,IF(D249&gt;=51,"H",IF(D249&lt;=19,"L","A")),IF(D249&lt;=50,"L","A"))))))),
IF('Dados da OS'!$D$8=Parâmetros!$B$6,"Indicativa",
IF('Dados da OS'!$D$8=Parâmetros!$B$5,"PFS","")))</f>
        <v/>
      </c>
      <c r="M249" s="57">
        <f>IFERROR(VLOOKUP(C249,'Fatores de Impacto e INMs'!$A$3:$D$32,3,0),1)</f>
        <v>1</v>
      </c>
      <c r="N249" s="57">
        <f>IFERROR(VLOOKUP(C249,'Fatores de Impacto e INMs'!$A$3:$E$32,5,0),1)</f>
        <v>1</v>
      </c>
      <c r="O249" s="63" t="str">
        <f xml:space="preserve">
IF(OR('Dados da OS'!$D$8="Selecione o tipo da contagem",ISBLANK('Dados da OS'!$D$8),B249="INM",B249="N/A",ISBLANK(B249),ISBLANK(C249),N249="VF"),"-",
   IF('Dados da OS'!$D$8=Parâmetros!$B$3,
      IF(OR(ISBLANK(D249),ISBLANK(F249)),"-",
         IF(L249="L","Baixa",IF(L249="A","Média",IF(L249="H","Alta","-")))),
      IF('Dados da OS'!$D$8=Parâmetros!$B$4,
         IF(OR(B249="ALI",B249="AIE"),"Baixa",IF(OR(B249="EE",B249="SE",B249="CE"),"Média","-")),
         IF(OR('Dados da OS'!$D$8=Parâmetros!$B$5,'Dados da OS'!$D$8=Parâmetros!$B$6),"-"))))</f>
        <v>-</v>
      </c>
      <c r="P249" s="59" t="str">
        <f xml:space="preserve">
IF(OR(ISBLANK(B249),ISBLANK(C249),B249="N/A",ISBLANK('Dados da OS'!$D$8)),"",
   IF(OR('Dados da OS'!$D$8=Parâmetros!$B$3,'Dados da OS'!$D$8=Parâmetros!$B$4),
      IF(OR(AND(B249="INM",N249&lt;&gt;"VF"),AND(N249="VF",B249&lt;&gt;"INM")),"",
        IF(AND(B249="INM",N249="VF"),IF(ISBLANK(H249),"",M249*H249),
        IF('Dados da OS'!$D$8=Parâmetros!$B$4,
           IF(OR(B249="CE",B249="EE"),4,IF(B249="SE",5,IF(B249="ALI",7,IF(B249="AIE",5,"")))),
        IF('Dados da OS'!$D$8=Parâmetros!$B$3,
           IF(OR(ISBLANK(D249),ISBLANK(F249)),"",
              IF(B249="ALI",IF(L249="L",7,IF(L249="A",10,15)),
                 IF(B249="AIE",IF(L249="L",5,IF(L249="A",7,10)),
                    IF(B249="SE",IF(L249="L",4,IF(L249="A",5,7)),
                       IF(OR(B249="EE",B249="CE"),IF(L249="L",3,IF(L249="A",4,6)),""))))))))),
   IF('Dados da OS'!$D$8=Parâmetros!$B$5,
      IF(OR(AND(B249="INM",N249&lt;&gt;"VF"),AND(N249="VF",B249&lt;&gt;"INM")),"",
         IF(B249="INM",IF(N249="VF",M249*H249,""),
            IF(B249="PE",4.6,
            IF(B249="AL",7,"")))),
   IF('Dados da OS'!$D$8=Parâmetros!$B$6,
      IF(B249="ALI",35,IF(B249="AIE",15,"")),""))
    )
)</f>
        <v/>
      </c>
      <c r="Q249" s="60" t="str">
        <f t="shared" si="25"/>
        <v/>
      </c>
      <c r="R249" s="61"/>
      <c r="S249" s="62"/>
      <c r="T249" s="80" t="s">
        <v>21</v>
      </c>
      <c r="U249" s="81"/>
      <c r="V249" s="99"/>
      <c r="W249" s="55"/>
      <c r="X249" s="55"/>
      <c r="Y249" s="56"/>
      <c r="Z249" s="55"/>
      <c r="AA249" s="56"/>
      <c r="AB249" s="55"/>
      <c r="AC249" s="57" t="str">
        <f t="shared" si="26"/>
        <v/>
      </c>
      <c r="AD249" s="57" t="str">
        <f t="shared" si="27"/>
        <v/>
      </c>
      <c r="AE249" s="57" t="str">
        <f xml:space="preserve">
IF(OR('Dados da OS'!$D$8=Parâmetros!$B$3,'Dados da OS'!$D$8=Parâmetros!$B$4),
  IF(OR(ISBLANK(X249),ISBLANK(Z249)),
     IF(OR(V249="ALI",V249="AIE"),"L",IF(ISBLANK(V249),"","A")),
     IF(V249="EE",IF(Z249&gt;=3,IF(X249&gt;=5,"H","A"),
     IF(Z249&gt;=2,IF(X249&gt;=16,"H",IF(X249&lt;=4,"L","A")),IF(X249&lt;=15,"L","A"))),
     IF(OR(V249="SE",V249="CE"),IF(Z249&gt;=4,IF(X249&gt;=6,"H","A"),IF(Z249&gt;=2,IF(X249&gt;=20,"H",IF(X249&lt;=5,"L","A")),IF(X249&lt;=19,"L","A"))),
     IF(OR(V249="ALI",V249="AIE"),IF(Z249&gt;=6,IF(X249&gt;=20,"H","A"),IF(Z249&gt;=2,IF(X249&gt;=51,"H",IF(X249&lt;=19,"L","A")),IF(X249&lt;=50,"L","A"))))))),
IF('Dados da OS'!$D$8=Parâmetros!$B$6,"Indicativa",
IF('Dados da OS'!$D$8=Parâmetros!$B$5,"PFS","")))</f>
        <v/>
      </c>
      <c r="AF249" s="57">
        <f>IFERROR(VLOOKUP(W249,'Fatores de Impacto e INMs'!$A$3:$D$32,3,0),1)</f>
        <v>1</v>
      </c>
      <c r="AG249" s="57">
        <f>IFERROR(VLOOKUP(W249,'Fatores de Impacto e INMs'!$A$3:$E$32,5,0),1)</f>
        <v>1</v>
      </c>
      <c r="AH249" s="82" t="str">
        <f xml:space="preserve">
IF(OR('Dados da OS'!$D$8="Selecione o tipo da contagem",ISBLANK('Dados da OS'!$D$8),V249="INM",V249="N/A",ISBLANK(V249),ISBLANK(W249),AG249="VF"),"-",
   IF('Dados da OS'!$D$8=Parâmetros!$B$3,
      IF(OR(ISBLANK(X249),ISBLANK(Z249)),"-",
         IF(AE249="L","Baixa",IF(AE249="A","Média",IF(AE249="H","Alta","-")))),
      IF('Dados da OS'!$D$8=Parâmetros!$B$4,
         IF(OR(V249="ALI",V249="AIE"),"Baixa",IF(OR(V249="EE",V249="SE",V249="CE"),"Média","-")),
         IF(OR('Dados da OS'!$D$8=Parâmetros!$B$5,'Dados da OS'!$D$8=Parâmetros!$B$6),"-"))))</f>
        <v>-</v>
      </c>
      <c r="AI249" s="83" t="str">
        <f xml:space="preserve">
IF(OR(ISBLANK(V249),ISBLANK(U249),ISBLANK(W249),V249="N/A",ISBLANK('Dados da OS'!$D$8)),"",
   IF(OR('Dados da OS'!$D$8=Parâmetros!$B$3,'Dados da OS'!$D$8=Parâmetros!$B$4),
      IF(OR(AND(V249="INM",AG249&lt;&gt;"VF"),AND(AG249="VF",V249&lt;&gt;"INM")),"",
        IF(AND(V249="INM",AG249="VF"),IF(ISBLANK(AB249),"",AF249*AB249),
        IF('Dados da OS'!$D$8=Parâmetros!$B$4,
           IF(OR(V249="CE",V249="EE"),4,IF(V249="SE",5,IF(V249="ALI",7,IF(V249="AIE",5,"")))),
        IF('Dados da OS'!$D$8=Parâmetros!$B$3,
           IF(OR(ISBLANK(X249),ISBLANK(Z249)),"",
              IF(V249="ALI",IF(AE249="L",7,IF(AE249="A",10,15)),
                 IF(V249="AIE",IF(AE249="L",5,IF(AE249="A",7,10)),
                    IF(V249="SE",IF(AE249="L",4,IF(AE249="A",5,7)),
                       IF(OR(V249="EE",V249="CE"),IF(AE249="L",3,IF(AE249="A",4,6)),""))))))))),
   IF('Dados da OS'!$D$8=Parâmetros!$B$5,
      IF(OR(AND(V249="INM",AG249&lt;&gt;"VF"),AND(AG249="VF",V249&lt;&gt;"INM")),"",
         IF(V249="INM",IF(AG249="VF",AF249*AB249,""),
            IF(V249="PE",4.6,
            IF(V249="AL",7,"")))),
   IF('Dados da OS'!$D$8=Parâmetros!$B$6,
      IF(V249="ALI",35,IF(V249="AIE",15,"")),""))
    )
)</f>
        <v/>
      </c>
      <c r="AJ249" s="82" t="str">
        <f t="shared" si="28"/>
        <v/>
      </c>
      <c r="AK249" s="84"/>
      <c r="AL249" s="85" t="s">
        <v>21</v>
      </c>
      <c r="AM249" s="86"/>
      <c r="AN249" s="85"/>
      <c r="AO249" s="87"/>
      <c r="AP249" s="85"/>
      <c r="AQ249" s="86"/>
      <c r="AR249" s="85"/>
    </row>
    <row r="250" spans="1:44" ht="15.75" customHeight="1">
      <c r="A250" s="54"/>
      <c r="B250" s="100"/>
      <c r="C250" s="55"/>
      <c r="D250" s="55"/>
      <c r="E250" s="56"/>
      <c r="F250" s="55"/>
      <c r="G250" s="56"/>
      <c r="H250" s="55"/>
      <c r="I250" s="64"/>
      <c r="J250" s="57" t="str">
        <f t="shared" si="29"/>
        <v/>
      </c>
      <c r="K250" s="57" t="str">
        <f t="shared" si="30"/>
        <v/>
      </c>
      <c r="L250" s="57" t="str">
        <f xml:space="preserve">
IF(OR('Dados da OS'!$D$8=Parâmetros!$B$3,'Dados da OS'!$D$8=Parâmetros!$B$4),
  IF(OR(ISBLANK(D250),ISBLANK(F250)),
     IF(OR(B250="ALI",B250="AIE"),"L",IF(ISBLANK(B250),"","A")),
     IF(B250="EE",IF(F250&gt;=3,IF(D250&gt;=5,"H","A"),
     IF(F250&gt;=2,IF(D250&gt;=16,"H",IF(D250&lt;=4,"L","A")),IF(D250&lt;=15,"L","A"))),
     IF(OR(B250="SE",B250="CE"),IF(F250&gt;=4,IF(D250&gt;=6,"H","A"),IF(F250&gt;=2,IF(D250&gt;=20,"H",IF(D250&lt;=5,"L","A")),IF(D250&lt;=19,"L","A"))),
     IF(OR(B250="ALI",B250="AIE"),IF(F250&gt;=6,IF(D250&gt;=20,"H","A"),IF(F250&gt;=2,IF(D250&gt;=51,"H",IF(D250&lt;=19,"L","A")),IF(D250&lt;=50,"L","A"))))))),
IF('Dados da OS'!$D$8=Parâmetros!$B$6,"Indicativa",
IF('Dados da OS'!$D$8=Parâmetros!$B$5,"PFS","")))</f>
        <v/>
      </c>
      <c r="M250" s="57">
        <f>IFERROR(VLOOKUP(C250,'Fatores de Impacto e INMs'!$A$3:$D$32,3,0),1)</f>
        <v>1</v>
      </c>
      <c r="N250" s="57">
        <f>IFERROR(VLOOKUP(C250,'Fatores de Impacto e INMs'!$A$3:$E$32,5,0),1)</f>
        <v>1</v>
      </c>
      <c r="O250" s="63" t="str">
        <f xml:space="preserve">
IF(OR('Dados da OS'!$D$8="Selecione o tipo da contagem",ISBLANK('Dados da OS'!$D$8),B250="INM",B250="N/A",ISBLANK(B250),ISBLANK(C250),N250="VF"),"-",
   IF('Dados da OS'!$D$8=Parâmetros!$B$3,
      IF(OR(ISBLANK(D250),ISBLANK(F250)),"-",
         IF(L250="L","Baixa",IF(L250="A","Média",IF(L250="H","Alta","-")))),
      IF('Dados da OS'!$D$8=Parâmetros!$B$4,
         IF(OR(B250="ALI",B250="AIE"),"Baixa",IF(OR(B250="EE",B250="SE",B250="CE"),"Média","-")),
         IF(OR('Dados da OS'!$D$8=Parâmetros!$B$5,'Dados da OS'!$D$8=Parâmetros!$B$6),"-"))))</f>
        <v>-</v>
      </c>
      <c r="P250" s="59" t="str">
        <f xml:space="preserve">
IF(OR(ISBLANK(B250),ISBLANK(C250),B250="N/A",ISBLANK('Dados da OS'!$D$8)),"",
   IF(OR('Dados da OS'!$D$8=Parâmetros!$B$3,'Dados da OS'!$D$8=Parâmetros!$B$4),
      IF(OR(AND(B250="INM",N250&lt;&gt;"VF"),AND(N250="VF",B250&lt;&gt;"INM")),"",
        IF(AND(B250="INM",N250="VF"),IF(ISBLANK(H250),"",M250*H250),
        IF('Dados da OS'!$D$8=Parâmetros!$B$4,
           IF(OR(B250="CE",B250="EE"),4,IF(B250="SE",5,IF(B250="ALI",7,IF(B250="AIE",5,"")))),
        IF('Dados da OS'!$D$8=Parâmetros!$B$3,
           IF(OR(ISBLANK(D250),ISBLANK(F250)),"",
              IF(B250="ALI",IF(L250="L",7,IF(L250="A",10,15)),
                 IF(B250="AIE",IF(L250="L",5,IF(L250="A",7,10)),
                    IF(B250="SE",IF(L250="L",4,IF(L250="A",5,7)),
                       IF(OR(B250="EE",B250="CE"),IF(L250="L",3,IF(L250="A",4,6)),""))))))))),
   IF('Dados da OS'!$D$8=Parâmetros!$B$5,
      IF(OR(AND(B250="INM",N250&lt;&gt;"VF"),AND(N250="VF",B250&lt;&gt;"INM")),"",
         IF(B250="INM",IF(N250="VF",M250*H250,""),
            IF(B250="PE",4.6,
            IF(B250="AL",7,"")))),
   IF('Dados da OS'!$D$8=Parâmetros!$B$6,
      IF(B250="ALI",35,IF(B250="AIE",15,"")),""))
    )
)</f>
        <v/>
      </c>
      <c r="Q250" s="60" t="str">
        <f t="shared" si="25"/>
        <v/>
      </c>
      <c r="R250" s="61"/>
      <c r="S250" s="62"/>
      <c r="T250" s="80" t="s">
        <v>21</v>
      </c>
      <c r="U250" s="81"/>
      <c r="V250" s="99"/>
      <c r="W250" s="55"/>
      <c r="X250" s="55"/>
      <c r="Y250" s="56"/>
      <c r="Z250" s="55"/>
      <c r="AA250" s="56"/>
      <c r="AB250" s="55"/>
      <c r="AC250" s="57" t="str">
        <f t="shared" si="26"/>
        <v/>
      </c>
      <c r="AD250" s="57" t="str">
        <f t="shared" si="27"/>
        <v/>
      </c>
      <c r="AE250" s="57" t="str">
        <f xml:space="preserve">
IF(OR('Dados da OS'!$D$8=Parâmetros!$B$3,'Dados da OS'!$D$8=Parâmetros!$B$4),
  IF(OR(ISBLANK(X250),ISBLANK(Z250)),
     IF(OR(V250="ALI",V250="AIE"),"L",IF(ISBLANK(V250),"","A")),
     IF(V250="EE",IF(Z250&gt;=3,IF(X250&gt;=5,"H","A"),
     IF(Z250&gt;=2,IF(X250&gt;=16,"H",IF(X250&lt;=4,"L","A")),IF(X250&lt;=15,"L","A"))),
     IF(OR(V250="SE",V250="CE"),IF(Z250&gt;=4,IF(X250&gt;=6,"H","A"),IF(Z250&gt;=2,IF(X250&gt;=20,"H",IF(X250&lt;=5,"L","A")),IF(X250&lt;=19,"L","A"))),
     IF(OR(V250="ALI",V250="AIE"),IF(Z250&gt;=6,IF(X250&gt;=20,"H","A"),IF(Z250&gt;=2,IF(X250&gt;=51,"H",IF(X250&lt;=19,"L","A")),IF(X250&lt;=50,"L","A"))))))),
IF('Dados da OS'!$D$8=Parâmetros!$B$6,"Indicativa",
IF('Dados da OS'!$D$8=Parâmetros!$B$5,"PFS","")))</f>
        <v/>
      </c>
      <c r="AF250" s="57">
        <f>IFERROR(VLOOKUP(W250,'Fatores de Impacto e INMs'!$A$3:$D$32,3,0),1)</f>
        <v>1</v>
      </c>
      <c r="AG250" s="57">
        <f>IFERROR(VLOOKUP(W250,'Fatores de Impacto e INMs'!$A$3:$E$32,5,0),1)</f>
        <v>1</v>
      </c>
      <c r="AH250" s="82" t="str">
        <f xml:space="preserve">
IF(OR('Dados da OS'!$D$8="Selecione o tipo da contagem",ISBLANK('Dados da OS'!$D$8),V250="INM",V250="N/A",ISBLANK(V250),ISBLANK(W250),AG250="VF"),"-",
   IF('Dados da OS'!$D$8=Parâmetros!$B$3,
      IF(OR(ISBLANK(X250),ISBLANK(Z250)),"-",
         IF(AE250="L","Baixa",IF(AE250="A","Média",IF(AE250="H","Alta","-")))),
      IF('Dados da OS'!$D$8=Parâmetros!$B$4,
         IF(OR(V250="ALI",V250="AIE"),"Baixa",IF(OR(V250="EE",V250="SE",V250="CE"),"Média","-")),
         IF(OR('Dados da OS'!$D$8=Parâmetros!$B$5,'Dados da OS'!$D$8=Parâmetros!$B$6),"-"))))</f>
        <v>-</v>
      </c>
      <c r="AI250" s="83" t="str">
        <f xml:space="preserve">
IF(OR(ISBLANK(V250),ISBLANK(U250),ISBLANK(W250),V250="N/A",ISBLANK('Dados da OS'!$D$8)),"",
   IF(OR('Dados da OS'!$D$8=Parâmetros!$B$3,'Dados da OS'!$D$8=Parâmetros!$B$4),
      IF(OR(AND(V250="INM",AG250&lt;&gt;"VF"),AND(AG250="VF",V250&lt;&gt;"INM")),"",
        IF(AND(V250="INM",AG250="VF"),IF(ISBLANK(AB250),"",AF250*AB250),
        IF('Dados da OS'!$D$8=Parâmetros!$B$4,
           IF(OR(V250="CE",V250="EE"),4,IF(V250="SE",5,IF(V250="ALI",7,IF(V250="AIE",5,"")))),
        IF('Dados da OS'!$D$8=Parâmetros!$B$3,
           IF(OR(ISBLANK(X250),ISBLANK(Z250)),"",
              IF(V250="ALI",IF(AE250="L",7,IF(AE250="A",10,15)),
                 IF(V250="AIE",IF(AE250="L",5,IF(AE250="A",7,10)),
                    IF(V250="SE",IF(AE250="L",4,IF(AE250="A",5,7)),
                       IF(OR(V250="EE",V250="CE"),IF(AE250="L",3,IF(AE250="A",4,6)),""))))))))),
   IF('Dados da OS'!$D$8=Parâmetros!$B$5,
      IF(OR(AND(V250="INM",AG250&lt;&gt;"VF"),AND(AG250="VF",V250&lt;&gt;"INM")),"",
         IF(V250="INM",IF(AG250="VF",AF250*AB250,""),
            IF(V250="PE",4.6,
            IF(V250="AL",7,"")))),
   IF('Dados da OS'!$D$8=Parâmetros!$B$6,
      IF(V250="ALI",35,IF(V250="AIE",15,"")),""))
    )
)</f>
        <v/>
      </c>
      <c r="AJ250" s="82" t="str">
        <f t="shared" si="28"/>
        <v/>
      </c>
      <c r="AK250" s="84"/>
      <c r="AL250" s="85" t="s">
        <v>21</v>
      </c>
      <c r="AM250" s="86"/>
      <c r="AN250" s="85"/>
      <c r="AO250" s="87"/>
      <c r="AP250" s="85"/>
      <c r="AQ250" s="86"/>
      <c r="AR250" s="85"/>
    </row>
    <row r="251" spans="1:44" ht="15.75" customHeight="1">
      <c r="A251" s="54"/>
      <c r="B251" s="100"/>
      <c r="C251" s="55"/>
      <c r="D251" s="55"/>
      <c r="E251" s="56"/>
      <c r="F251" s="55"/>
      <c r="G251" s="56"/>
      <c r="H251" s="55"/>
      <c r="I251" s="64"/>
      <c r="J251" s="57" t="str">
        <f t="shared" si="29"/>
        <v/>
      </c>
      <c r="K251" s="57" t="str">
        <f t="shared" si="30"/>
        <v/>
      </c>
      <c r="L251" s="57" t="str">
        <f xml:space="preserve">
IF(OR('Dados da OS'!$D$8=Parâmetros!$B$3,'Dados da OS'!$D$8=Parâmetros!$B$4),
  IF(OR(ISBLANK(D251),ISBLANK(F251)),
     IF(OR(B251="ALI",B251="AIE"),"L",IF(ISBLANK(B251),"","A")),
     IF(B251="EE",IF(F251&gt;=3,IF(D251&gt;=5,"H","A"),
     IF(F251&gt;=2,IF(D251&gt;=16,"H",IF(D251&lt;=4,"L","A")),IF(D251&lt;=15,"L","A"))),
     IF(OR(B251="SE",B251="CE"),IF(F251&gt;=4,IF(D251&gt;=6,"H","A"),IF(F251&gt;=2,IF(D251&gt;=20,"H",IF(D251&lt;=5,"L","A")),IF(D251&lt;=19,"L","A"))),
     IF(OR(B251="ALI",B251="AIE"),IF(F251&gt;=6,IF(D251&gt;=20,"H","A"),IF(F251&gt;=2,IF(D251&gt;=51,"H",IF(D251&lt;=19,"L","A")),IF(D251&lt;=50,"L","A"))))))),
IF('Dados da OS'!$D$8=Parâmetros!$B$6,"Indicativa",
IF('Dados da OS'!$D$8=Parâmetros!$B$5,"PFS","")))</f>
        <v/>
      </c>
      <c r="M251" s="57">
        <f>IFERROR(VLOOKUP(C251,'Fatores de Impacto e INMs'!$A$3:$D$32,3,0),1)</f>
        <v>1</v>
      </c>
      <c r="N251" s="57">
        <f>IFERROR(VLOOKUP(C251,'Fatores de Impacto e INMs'!$A$3:$E$32,5,0),1)</f>
        <v>1</v>
      </c>
      <c r="O251" s="63" t="str">
        <f xml:space="preserve">
IF(OR('Dados da OS'!$D$8="Selecione o tipo da contagem",ISBLANK('Dados da OS'!$D$8),B251="INM",B251="N/A",ISBLANK(B251),ISBLANK(C251),N251="VF"),"-",
   IF('Dados da OS'!$D$8=Parâmetros!$B$3,
      IF(OR(ISBLANK(D251),ISBLANK(F251)),"-",
         IF(L251="L","Baixa",IF(L251="A","Média",IF(L251="H","Alta","-")))),
      IF('Dados da OS'!$D$8=Parâmetros!$B$4,
         IF(OR(B251="ALI",B251="AIE"),"Baixa",IF(OR(B251="EE",B251="SE",B251="CE"),"Média","-")),
         IF(OR('Dados da OS'!$D$8=Parâmetros!$B$5,'Dados da OS'!$D$8=Parâmetros!$B$6),"-"))))</f>
        <v>-</v>
      </c>
      <c r="P251" s="59" t="str">
        <f xml:space="preserve">
IF(OR(ISBLANK(B251),ISBLANK(C251),B251="N/A",ISBLANK('Dados da OS'!$D$8)),"",
   IF(OR('Dados da OS'!$D$8=Parâmetros!$B$3,'Dados da OS'!$D$8=Parâmetros!$B$4),
      IF(OR(AND(B251="INM",N251&lt;&gt;"VF"),AND(N251="VF",B251&lt;&gt;"INM")),"",
        IF(AND(B251="INM",N251="VF"),IF(ISBLANK(H251),"",M251*H251),
        IF('Dados da OS'!$D$8=Parâmetros!$B$4,
           IF(OR(B251="CE",B251="EE"),4,IF(B251="SE",5,IF(B251="ALI",7,IF(B251="AIE",5,"")))),
        IF('Dados da OS'!$D$8=Parâmetros!$B$3,
           IF(OR(ISBLANK(D251),ISBLANK(F251)),"",
              IF(B251="ALI",IF(L251="L",7,IF(L251="A",10,15)),
                 IF(B251="AIE",IF(L251="L",5,IF(L251="A",7,10)),
                    IF(B251="SE",IF(L251="L",4,IF(L251="A",5,7)),
                       IF(OR(B251="EE",B251="CE"),IF(L251="L",3,IF(L251="A",4,6)),""))))))))),
   IF('Dados da OS'!$D$8=Parâmetros!$B$5,
      IF(OR(AND(B251="INM",N251&lt;&gt;"VF"),AND(N251="VF",B251&lt;&gt;"INM")),"",
         IF(B251="INM",IF(N251="VF",M251*H251,""),
            IF(B251="PE",4.6,
            IF(B251="AL",7,"")))),
   IF('Dados da OS'!$D$8=Parâmetros!$B$6,
      IF(B251="ALI",35,IF(B251="AIE",15,"")),""))
    )
)</f>
        <v/>
      </c>
      <c r="Q251" s="60" t="str">
        <f t="shared" si="25"/>
        <v/>
      </c>
      <c r="R251" s="61"/>
      <c r="S251" s="62"/>
      <c r="T251" s="80" t="s">
        <v>21</v>
      </c>
      <c r="U251" s="81"/>
      <c r="V251" s="99"/>
      <c r="W251" s="55"/>
      <c r="X251" s="55"/>
      <c r="Y251" s="56"/>
      <c r="Z251" s="55"/>
      <c r="AA251" s="56"/>
      <c r="AB251" s="55"/>
      <c r="AC251" s="57" t="str">
        <f t="shared" si="26"/>
        <v/>
      </c>
      <c r="AD251" s="57" t="str">
        <f t="shared" si="27"/>
        <v/>
      </c>
      <c r="AE251" s="57" t="str">
        <f xml:space="preserve">
IF(OR('Dados da OS'!$D$8=Parâmetros!$B$3,'Dados da OS'!$D$8=Parâmetros!$B$4),
  IF(OR(ISBLANK(X251),ISBLANK(Z251)),
     IF(OR(V251="ALI",V251="AIE"),"L",IF(ISBLANK(V251),"","A")),
     IF(V251="EE",IF(Z251&gt;=3,IF(X251&gt;=5,"H","A"),
     IF(Z251&gt;=2,IF(X251&gt;=16,"H",IF(X251&lt;=4,"L","A")),IF(X251&lt;=15,"L","A"))),
     IF(OR(V251="SE",V251="CE"),IF(Z251&gt;=4,IF(X251&gt;=6,"H","A"),IF(Z251&gt;=2,IF(X251&gt;=20,"H",IF(X251&lt;=5,"L","A")),IF(X251&lt;=19,"L","A"))),
     IF(OR(V251="ALI",V251="AIE"),IF(Z251&gt;=6,IF(X251&gt;=20,"H","A"),IF(Z251&gt;=2,IF(X251&gt;=51,"H",IF(X251&lt;=19,"L","A")),IF(X251&lt;=50,"L","A"))))))),
IF('Dados da OS'!$D$8=Parâmetros!$B$6,"Indicativa",
IF('Dados da OS'!$D$8=Parâmetros!$B$5,"PFS","")))</f>
        <v/>
      </c>
      <c r="AF251" s="57">
        <f>IFERROR(VLOOKUP(W251,'Fatores de Impacto e INMs'!$A$3:$D$32,3,0),1)</f>
        <v>1</v>
      </c>
      <c r="AG251" s="57">
        <f>IFERROR(VLOOKUP(W251,'Fatores de Impacto e INMs'!$A$3:$E$32,5,0),1)</f>
        <v>1</v>
      </c>
      <c r="AH251" s="82" t="str">
        <f xml:space="preserve">
IF(OR('Dados da OS'!$D$8="Selecione o tipo da contagem",ISBLANK('Dados da OS'!$D$8),V251="INM",V251="N/A",ISBLANK(V251),ISBLANK(W251),AG251="VF"),"-",
   IF('Dados da OS'!$D$8=Parâmetros!$B$3,
      IF(OR(ISBLANK(X251),ISBLANK(Z251)),"-",
         IF(AE251="L","Baixa",IF(AE251="A","Média",IF(AE251="H","Alta","-")))),
      IF('Dados da OS'!$D$8=Parâmetros!$B$4,
         IF(OR(V251="ALI",V251="AIE"),"Baixa",IF(OR(V251="EE",V251="SE",V251="CE"),"Média","-")),
         IF(OR('Dados da OS'!$D$8=Parâmetros!$B$5,'Dados da OS'!$D$8=Parâmetros!$B$6),"-"))))</f>
        <v>-</v>
      </c>
      <c r="AI251" s="83" t="str">
        <f xml:space="preserve">
IF(OR(ISBLANK(V251),ISBLANK(U251),ISBLANK(W251),V251="N/A",ISBLANK('Dados da OS'!$D$8)),"",
   IF(OR('Dados da OS'!$D$8=Parâmetros!$B$3,'Dados da OS'!$D$8=Parâmetros!$B$4),
      IF(OR(AND(V251="INM",AG251&lt;&gt;"VF"),AND(AG251="VF",V251&lt;&gt;"INM")),"",
        IF(AND(V251="INM",AG251="VF"),IF(ISBLANK(AB251),"",AF251*AB251),
        IF('Dados da OS'!$D$8=Parâmetros!$B$4,
           IF(OR(V251="CE",V251="EE"),4,IF(V251="SE",5,IF(V251="ALI",7,IF(V251="AIE",5,"")))),
        IF('Dados da OS'!$D$8=Parâmetros!$B$3,
           IF(OR(ISBLANK(X251),ISBLANK(Z251)),"",
              IF(V251="ALI",IF(AE251="L",7,IF(AE251="A",10,15)),
                 IF(V251="AIE",IF(AE251="L",5,IF(AE251="A",7,10)),
                    IF(V251="SE",IF(AE251="L",4,IF(AE251="A",5,7)),
                       IF(OR(V251="EE",V251="CE"),IF(AE251="L",3,IF(AE251="A",4,6)),""))))))))),
   IF('Dados da OS'!$D$8=Parâmetros!$B$5,
      IF(OR(AND(V251="INM",AG251&lt;&gt;"VF"),AND(AG251="VF",V251&lt;&gt;"INM")),"",
         IF(V251="INM",IF(AG251="VF",AF251*AB251,""),
            IF(V251="PE",4.6,
            IF(V251="AL",7,"")))),
   IF('Dados da OS'!$D$8=Parâmetros!$B$6,
      IF(V251="ALI",35,IF(V251="AIE",15,"")),""))
    )
)</f>
        <v/>
      </c>
      <c r="AJ251" s="82" t="str">
        <f t="shared" si="28"/>
        <v/>
      </c>
      <c r="AK251" s="84"/>
      <c r="AL251" s="85" t="s">
        <v>21</v>
      </c>
      <c r="AM251" s="86"/>
      <c r="AN251" s="85"/>
      <c r="AO251" s="87"/>
      <c r="AP251" s="85"/>
      <c r="AQ251" s="86"/>
      <c r="AR251" s="85"/>
    </row>
    <row r="252" spans="1:44" ht="15.75" customHeight="1">
      <c r="A252" s="54"/>
      <c r="B252" s="100"/>
      <c r="C252" s="55"/>
      <c r="D252" s="55"/>
      <c r="E252" s="56"/>
      <c r="F252" s="55"/>
      <c r="G252" s="56"/>
      <c r="H252" s="55"/>
      <c r="I252" s="64"/>
      <c r="J252" s="57" t="str">
        <f t="shared" si="29"/>
        <v/>
      </c>
      <c r="K252" s="57" t="str">
        <f t="shared" si="30"/>
        <v/>
      </c>
      <c r="L252" s="57" t="str">
        <f xml:space="preserve">
IF(OR('Dados da OS'!$D$8=Parâmetros!$B$3,'Dados da OS'!$D$8=Parâmetros!$B$4),
  IF(OR(ISBLANK(D252),ISBLANK(F252)),
     IF(OR(B252="ALI",B252="AIE"),"L",IF(ISBLANK(B252),"","A")),
     IF(B252="EE",IF(F252&gt;=3,IF(D252&gt;=5,"H","A"),
     IF(F252&gt;=2,IF(D252&gt;=16,"H",IF(D252&lt;=4,"L","A")),IF(D252&lt;=15,"L","A"))),
     IF(OR(B252="SE",B252="CE"),IF(F252&gt;=4,IF(D252&gt;=6,"H","A"),IF(F252&gt;=2,IF(D252&gt;=20,"H",IF(D252&lt;=5,"L","A")),IF(D252&lt;=19,"L","A"))),
     IF(OR(B252="ALI",B252="AIE"),IF(F252&gt;=6,IF(D252&gt;=20,"H","A"),IF(F252&gt;=2,IF(D252&gt;=51,"H",IF(D252&lt;=19,"L","A")),IF(D252&lt;=50,"L","A"))))))),
IF('Dados da OS'!$D$8=Parâmetros!$B$6,"Indicativa",
IF('Dados da OS'!$D$8=Parâmetros!$B$5,"PFS","")))</f>
        <v/>
      </c>
      <c r="M252" s="57">
        <f>IFERROR(VLOOKUP(C252,'Fatores de Impacto e INMs'!$A$3:$D$32,3,0),1)</f>
        <v>1</v>
      </c>
      <c r="N252" s="57">
        <f>IFERROR(VLOOKUP(C252,'Fatores de Impacto e INMs'!$A$3:$E$32,5,0),1)</f>
        <v>1</v>
      </c>
      <c r="O252" s="63" t="str">
        <f xml:space="preserve">
IF(OR('Dados da OS'!$D$8="Selecione o tipo da contagem",ISBLANK('Dados da OS'!$D$8),B252="INM",B252="N/A",ISBLANK(B252),ISBLANK(C252),N252="VF"),"-",
   IF('Dados da OS'!$D$8=Parâmetros!$B$3,
      IF(OR(ISBLANK(D252),ISBLANK(F252)),"-",
         IF(L252="L","Baixa",IF(L252="A","Média",IF(L252="H","Alta","-")))),
      IF('Dados da OS'!$D$8=Parâmetros!$B$4,
         IF(OR(B252="ALI",B252="AIE"),"Baixa",IF(OR(B252="EE",B252="SE",B252="CE"),"Média","-")),
         IF(OR('Dados da OS'!$D$8=Parâmetros!$B$5,'Dados da OS'!$D$8=Parâmetros!$B$6),"-"))))</f>
        <v>-</v>
      </c>
      <c r="P252" s="59" t="str">
        <f xml:space="preserve">
IF(OR(ISBLANK(B252),ISBLANK(C252),B252="N/A",ISBLANK('Dados da OS'!$D$8)),"",
   IF(OR('Dados da OS'!$D$8=Parâmetros!$B$3,'Dados da OS'!$D$8=Parâmetros!$B$4),
      IF(OR(AND(B252="INM",N252&lt;&gt;"VF"),AND(N252="VF",B252&lt;&gt;"INM")),"",
        IF(AND(B252="INM",N252="VF"),IF(ISBLANK(H252),"",M252*H252),
        IF('Dados da OS'!$D$8=Parâmetros!$B$4,
           IF(OR(B252="CE",B252="EE"),4,IF(B252="SE",5,IF(B252="ALI",7,IF(B252="AIE",5,"")))),
        IF('Dados da OS'!$D$8=Parâmetros!$B$3,
           IF(OR(ISBLANK(D252),ISBLANK(F252)),"",
              IF(B252="ALI",IF(L252="L",7,IF(L252="A",10,15)),
                 IF(B252="AIE",IF(L252="L",5,IF(L252="A",7,10)),
                    IF(B252="SE",IF(L252="L",4,IF(L252="A",5,7)),
                       IF(OR(B252="EE",B252="CE"),IF(L252="L",3,IF(L252="A",4,6)),""))))))))),
   IF('Dados da OS'!$D$8=Parâmetros!$B$5,
      IF(OR(AND(B252="INM",N252&lt;&gt;"VF"),AND(N252="VF",B252&lt;&gt;"INM")),"",
         IF(B252="INM",IF(N252="VF",M252*H252,""),
            IF(B252="PE",4.6,
            IF(B252="AL",7,"")))),
   IF('Dados da OS'!$D$8=Parâmetros!$B$6,
      IF(B252="ALI",35,IF(B252="AIE",15,"")),""))
    )
)</f>
        <v/>
      </c>
      <c r="Q252" s="60" t="str">
        <f t="shared" si="25"/>
        <v/>
      </c>
      <c r="R252" s="61"/>
      <c r="S252" s="62"/>
      <c r="T252" s="80" t="s">
        <v>21</v>
      </c>
      <c r="U252" s="81"/>
      <c r="V252" s="99"/>
      <c r="W252" s="55"/>
      <c r="X252" s="55"/>
      <c r="Y252" s="56"/>
      <c r="Z252" s="55"/>
      <c r="AA252" s="56"/>
      <c r="AB252" s="55"/>
      <c r="AC252" s="57" t="str">
        <f t="shared" si="26"/>
        <v/>
      </c>
      <c r="AD252" s="57" t="str">
        <f t="shared" si="27"/>
        <v/>
      </c>
      <c r="AE252" s="57" t="str">
        <f xml:space="preserve">
IF(OR('Dados da OS'!$D$8=Parâmetros!$B$3,'Dados da OS'!$D$8=Parâmetros!$B$4),
  IF(OR(ISBLANK(X252),ISBLANK(Z252)),
     IF(OR(V252="ALI",V252="AIE"),"L",IF(ISBLANK(V252),"","A")),
     IF(V252="EE",IF(Z252&gt;=3,IF(X252&gt;=5,"H","A"),
     IF(Z252&gt;=2,IF(X252&gt;=16,"H",IF(X252&lt;=4,"L","A")),IF(X252&lt;=15,"L","A"))),
     IF(OR(V252="SE",V252="CE"),IF(Z252&gt;=4,IF(X252&gt;=6,"H","A"),IF(Z252&gt;=2,IF(X252&gt;=20,"H",IF(X252&lt;=5,"L","A")),IF(X252&lt;=19,"L","A"))),
     IF(OR(V252="ALI",V252="AIE"),IF(Z252&gt;=6,IF(X252&gt;=20,"H","A"),IF(Z252&gt;=2,IF(X252&gt;=51,"H",IF(X252&lt;=19,"L","A")),IF(X252&lt;=50,"L","A"))))))),
IF('Dados da OS'!$D$8=Parâmetros!$B$6,"Indicativa",
IF('Dados da OS'!$D$8=Parâmetros!$B$5,"PFS","")))</f>
        <v/>
      </c>
      <c r="AF252" s="57">
        <f>IFERROR(VLOOKUP(W252,'Fatores de Impacto e INMs'!$A$3:$D$32,3,0),1)</f>
        <v>1</v>
      </c>
      <c r="AG252" s="57">
        <f>IFERROR(VLOOKUP(W252,'Fatores de Impacto e INMs'!$A$3:$E$32,5,0),1)</f>
        <v>1</v>
      </c>
      <c r="AH252" s="82" t="str">
        <f xml:space="preserve">
IF(OR('Dados da OS'!$D$8="Selecione o tipo da contagem",ISBLANK('Dados da OS'!$D$8),V252="INM",V252="N/A",ISBLANK(V252),ISBLANK(W252),AG252="VF"),"-",
   IF('Dados da OS'!$D$8=Parâmetros!$B$3,
      IF(OR(ISBLANK(X252),ISBLANK(Z252)),"-",
         IF(AE252="L","Baixa",IF(AE252="A","Média",IF(AE252="H","Alta","-")))),
      IF('Dados da OS'!$D$8=Parâmetros!$B$4,
         IF(OR(V252="ALI",V252="AIE"),"Baixa",IF(OR(V252="EE",V252="SE",V252="CE"),"Média","-")),
         IF(OR('Dados da OS'!$D$8=Parâmetros!$B$5,'Dados da OS'!$D$8=Parâmetros!$B$6),"-"))))</f>
        <v>-</v>
      </c>
      <c r="AI252" s="83" t="str">
        <f xml:space="preserve">
IF(OR(ISBLANK(V252),ISBLANK(U252),ISBLANK(W252),V252="N/A",ISBLANK('Dados da OS'!$D$8)),"",
   IF(OR('Dados da OS'!$D$8=Parâmetros!$B$3,'Dados da OS'!$D$8=Parâmetros!$B$4),
      IF(OR(AND(V252="INM",AG252&lt;&gt;"VF"),AND(AG252="VF",V252&lt;&gt;"INM")),"",
        IF(AND(V252="INM",AG252="VF"),IF(ISBLANK(AB252),"",AF252*AB252),
        IF('Dados da OS'!$D$8=Parâmetros!$B$4,
           IF(OR(V252="CE",V252="EE"),4,IF(V252="SE",5,IF(V252="ALI",7,IF(V252="AIE",5,"")))),
        IF('Dados da OS'!$D$8=Parâmetros!$B$3,
           IF(OR(ISBLANK(X252),ISBLANK(Z252)),"",
              IF(V252="ALI",IF(AE252="L",7,IF(AE252="A",10,15)),
                 IF(V252="AIE",IF(AE252="L",5,IF(AE252="A",7,10)),
                    IF(V252="SE",IF(AE252="L",4,IF(AE252="A",5,7)),
                       IF(OR(V252="EE",V252="CE"),IF(AE252="L",3,IF(AE252="A",4,6)),""))))))))),
   IF('Dados da OS'!$D$8=Parâmetros!$B$5,
      IF(OR(AND(V252="INM",AG252&lt;&gt;"VF"),AND(AG252="VF",V252&lt;&gt;"INM")),"",
         IF(V252="INM",IF(AG252="VF",AF252*AB252,""),
            IF(V252="PE",4.6,
            IF(V252="AL",7,"")))),
   IF('Dados da OS'!$D$8=Parâmetros!$B$6,
      IF(V252="ALI",35,IF(V252="AIE",15,"")),""))
    )
)</f>
        <v/>
      </c>
      <c r="AJ252" s="82" t="str">
        <f t="shared" si="28"/>
        <v/>
      </c>
      <c r="AK252" s="84"/>
      <c r="AL252" s="85" t="s">
        <v>21</v>
      </c>
      <c r="AM252" s="86"/>
      <c r="AN252" s="85"/>
      <c r="AO252" s="87"/>
      <c r="AP252" s="85"/>
      <c r="AQ252" s="86"/>
      <c r="AR252" s="85"/>
    </row>
    <row r="253" spans="1:44" ht="15.75" customHeight="1">
      <c r="A253" s="54"/>
      <c r="B253" s="100"/>
      <c r="C253" s="55"/>
      <c r="D253" s="55"/>
      <c r="E253" s="56"/>
      <c r="F253" s="55"/>
      <c r="G253" s="56"/>
      <c r="H253" s="55"/>
      <c r="I253" s="64"/>
      <c r="J253" s="57" t="str">
        <f t="shared" si="29"/>
        <v/>
      </c>
      <c r="K253" s="57" t="str">
        <f t="shared" si="30"/>
        <v/>
      </c>
      <c r="L253" s="57" t="str">
        <f xml:space="preserve">
IF(OR('Dados da OS'!$D$8=Parâmetros!$B$3,'Dados da OS'!$D$8=Parâmetros!$B$4),
  IF(OR(ISBLANK(D253),ISBLANK(F253)),
     IF(OR(B253="ALI",B253="AIE"),"L",IF(ISBLANK(B253),"","A")),
     IF(B253="EE",IF(F253&gt;=3,IF(D253&gt;=5,"H","A"),
     IF(F253&gt;=2,IF(D253&gt;=16,"H",IF(D253&lt;=4,"L","A")),IF(D253&lt;=15,"L","A"))),
     IF(OR(B253="SE",B253="CE"),IF(F253&gt;=4,IF(D253&gt;=6,"H","A"),IF(F253&gt;=2,IF(D253&gt;=20,"H",IF(D253&lt;=5,"L","A")),IF(D253&lt;=19,"L","A"))),
     IF(OR(B253="ALI",B253="AIE"),IF(F253&gt;=6,IF(D253&gt;=20,"H","A"),IF(F253&gt;=2,IF(D253&gt;=51,"H",IF(D253&lt;=19,"L","A")),IF(D253&lt;=50,"L","A"))))))),
IF('Dados da OS'!$D$8=Parâmetros!$B$6,"Indicativa",
IF('Dados da OS'!$D$8=Parâmetros!$B$5,"PFS","")))</f>
        <v/>
      </c>
      <c r="M253" s="57">
        <f>IFERROR(VLOOKUP(C253,'Fatores de Impacto e INMs'!$A$3:$D$32,3,0),1)</f>
        <v>1</v>
      </c>
      <c r="N253" s="57">
        <f>IFERROR(VLOOKUP(C253,'Fatores de Impacto e INMs'!$A$3:$E$32,5,0),1)</f>
        <v>1</v>
      </c>
      <c r="O253" s="63" t="str">
        <f xml:space="preserve">
IF(OR('Dados da OS'!$D$8="Selecione o tipo da contagem",ISBLANK('Dados da OS'!$D$8),B253="INM",B253="N/A",ISBLANK(B253),ISBLANK(C253),N253="VF"),"-",
   IF('Dados da OS'!$D$8=Parâmetros!$B$3,
      IF(OR(ISBLANK(D253),ISBLANK(F253)),"-",
         IF(L253="L","Baixa",IF(L253="A","Média",IF(L253="H","Alta","-")))),
      IF('Dados da OS'!$D$8=Parâmetros!$B$4,
         IF(OR(B253="ALI",B253="AIE"),"Baixa",IF(OR(B253="EE",B253="SE",B253="CE"),"Média","-")),
         IF(OR('Dados da OS'!$D$8=Parâmetros!$B$5,'Dados da OS'!$D$8=Parâmetros!$B$6),"-"))))</f>
        <v>-</v>
      </c>
      <c r="P253" s="59" t="str">
        <f xml:space="preserve">
IF(OR(ISBLANK(B253),ISBLANK(C253),B253="N/A",ISBLANK('Dados da OS'!$D$8)),"",
   IF(OR('Dados da OS'!$D$8=Parâmetros!$B$3,'Dados da OS'!$D$8=Parâmetros!$B$4),
      IF(OR(AND(B253="INM",N253&lt;&gt;"VF"),AND(N253="VF",B253&lt;&gt;"INM")),"",
        IF(AND(B253="INM",N253="VF"),IF(ISBLANK(H253),"",M253*H253),
        IF('Dados da OS'!$D$8=Parâmetros!$B$4,
           IF(OR(B253="CE",B253="EE"),4,IF(B253="SE",5,IF(B253="ALI",7,IF(B253="AIE",5,"")))),
        IF('Dados da OS'!$D$8=Parâmetros!$B$3,
           IF(OR(ISBLANK(D253),ISBLANK(F253)),"",
              IF(B253="ALI",IF(L253="L",7,IF(L253="A",10,15)),
                 IF(B253="AIE",IF(L253="L",5,IF(L253="A",7,10)),
                    IF(B253="SE",IF(L253="L",4,IF(L253="A",5,7)),
                       IF(OR(B253="EE",B253="CE"),IF(L253="L",3,IF(L253="A",4,6)),""))))))))),
   IF('Dados da OS'!$D$8=Parâmetros!$B$5,
      IF(OR(AND(B253="INM",N253&lt;&gt;"VF"),AND(N253="VF",B253&lt;&gt;"INM")),"",
         IF(B253="INM",IF(N253="VF",M253*H253,""),
            IF(B253="PE",4.6,
            IF(B253="AL",7,"")))),
   IF('Dados da OS'!$D$8=Parâmetros!$B$6,
      IF(B253="ALI",35,IF(B253="AIE",15,"")),""))
    )
)</f>
        <v/>
      </c>
      <c r="Q253" s="60" t="str">
        <f t="shared" si="25"/>
        <v/>
      </c>
      <c r="R253" s="61"/>
      <c r="S253" s="62"/>
      <c r="T253" s="80" t="s">
        <v>21</v>
      </c>
      <c r="U253" s="81"/>
      <c r="V253" s="99"/>
      <c r="W253" s="55"/>
      <c r="X253" s="55"/>
      <c r="Y253" s="56"/>
      <c r="Z253" s="55"/>
      <c r="AA253" s="56"/>
      <c r="AB253" s="55"/>
      <c r="AC253" s="57" t="str">
        <f t="shared" si="26"/>
        <v/>
      </c>
      <c r="AD253" s="57" t="str">
        <f t="shared" si="27"/>
        <v/>
      </c>
      <c r="AE253" s="57" t="str">
        <f xml:space="preserve">
IF(OR('Dados da OS'!$D$8=Parâmetros!$B$3,'Dados da OS'!$D$8=Parâmetros!$B$4),
  IF(OR(ISBLANK(X253),ISBLANK(Z253)),
     IF(OR(V253="ALI",V253="AIE"),"L",IF(ISBLANK(V253),"","A")),
     IF(V253="EE",IF(Z253&gt;=3,IF(X253&gt;=5,"H","A"),
     IF(Z253&gt;=2,IF(X253&gt;=16,"H",IF(X253&lt;=4,"L","A")),IF(X253&lt;=15,"L","A"))),
     IF(OR(V253="SE",V253="CE"),IF(Z253&gt;=4,IF(X253&gt;=6,"H","A"),IF(Z253&gt;=2,IF(X253&gt;=20,"H",IF(X253&lt;=5,"L","A")),IF(X253&lt;=19,"L","A"))),
     IF(OR(V253="ALI",V253="AIE"),IF(Z253&gt;=6,IF(X253&gt;=20,"H","A"),IF(Z253&gt;=2,IF(X253&gt;=51,"H",IF(X253&lt;=19,"L","A")),IF(X253&lt;=50,"L","A"))))))),
IF('Dados da OS'!$D$8=Parâmetros!$B$6,"Indicativa",
IF('Dados da OS'!$D$8=Parâmetros!$B$5,"PFS","")))</f>
        <v/>
      </c>
      <c r="AF253" s="57">
        <f>IFERROR(VLOOKUP(W253,'Fatores de Impacto e INMs'!$A$3:$D$32,3,0),1)</f>
        <v>1</v>
      </c>
      <c r="AG253" s="57">
        <f>IFERROR(VLOOKUP(W253,'Fatores de Impacto e INMs'!$A$3:$E$32,5,0),1)</f>
        <v>1</v>
      </c>
      <c r="AH253" s="82" t="str">
        <f xml:space="preserve">
IF(OR('Dados da OS'!$D$8="Selecione o tipo da contagem",ISBLANK('Dados da OS'!$D$8),V253="INM",V253="N/A",ISBLANK(V253),ISBLANK(W253),AG253="VF"),"-",
   IF('Dados da OS'!$D$8=Parâmetros!$B$3,
      IF(OR(ISBLANK(X253),ISBLANK(Z253)),"-",
         IF(AE253="L","Baixa",IF(AE253="A","Média",IF(AE253="H","Alta","-")))),
      IF('Dados da OS'!$D$8=Parâmetros!$B$4,
         IF(OR(V253="ALI",V253="AIE"),"Baixa",IF(OR(V253="EE",V253="SE",V253="CE"),"Média","-")),
         IF(OR('Dados da OS'!$D$8=Parâmetros!$B$5,'Dados da OS'!$D$8=Parâmetros!$B$6),"-"))))</f>
        <v>-</v>
      </c>
      <c r="AI253" s="83" t="str">
        <f xml:space="preserve">
IF(OR(ISBLANK(V253),ISBLANK(U253),ISBLANK(W253),V253="N/A",ISBLANK('Dados da OS'!$D$8)),"",
   IF(OR('Dados da OS'!$D$8=Parâmetros!$B$3,'Dados da OS'!$D$8=Parâmetros!$B$4),
      IF(OR(AND(V253="INM",AG253&lt;&gt;"VF"),AND(AG253="VF",V253&lt;&gt;"INM")),"",
        IF(AND(V253="INM",AG253="VF"),IF(ISBLANK(AB253),"",AF253*AB253),
        IF('Dados da OS'!$D$8=Parâmetros!$B$4,
           IF(OR(V253="CE",V253="EE"),4,IF(V253="SE",5,IF(V253="ALI",7,IF(V253="AIE",5,"")))),
        IF('Dados da OS'!$D$8=Parâmetros!$B$3,
           IF(OR(ISBLANK(X253),ISBLANK(Z253)),"",
              IF(V253="ALI",IF(AE253="L",7,IF(AE253="A",10,15)),
                 IF(V253="AIE",IF(AE253="L",5,IF(AE253="A",7,10)),
                    IF(V253="SE",IF(AE253="L",4,IF(AE253="A",5,7)),
                       IF(OR(V253="EE",V253="CE"),IF(AE253="L",3,IF(AE253="A",4,6)),""))))))))),
   IF('Dados da OS'!$D$8=Parâmetros!$B$5,
      IF(OR(AND(V253="INM",AG253&lt;&gt;"VF"),AND(AG253="VF",V253&lt;&gt;"INM")),"",
         IF(V253="INM",IF(AG253="VF",AF253*AB253,""),
            IF(V253="PE",4.6,
            IF(V253="AL",7,"")))),
   IF('Dados da OS'!$D$8=Parâmetros!$B$6,
      IF(V253="ALI",35,IF(V253="AIE",15,"")),""))
    )
)</f>
        <v/>
      </c>
      <c r="AJ253" s="82" t="str">
        <f t="shared" si="28"/>
        <v/>
      </c>
      <c r="AK253" s="84"/>
      <c r="AL253" s="85" t="s">
        <v>21</v>
      </c>
      <c r="AM253" s="86"/>
      <c r="AN253" s="85"/>
      <c r="AO253" s="87"/>
      <c r="AP253" s="85"/>
      <c r="AQ253" s="86"/>
      <c r="AR253" s="85"/>
    </row>
    <row r="254" spans="1:44" ht="15.75" customHeight="1">
      <c r="A254" s="54"/>
      <c r="B254" s="100"/>
      <c r="C254" s="55"/>
      <c r="D254" s="55"/>
      <c r="E254" s="56"/>
      <c r="F254" s="55"/>
      <c r="G254" s="56"/>
      <c r="H254" s="55"/>
      <c r="I254" s="64"/>
      <c r="J254" s="57" t="str">
        <f t="shared" si="29"/>
        <v/>
      </c>
      <c r="K254" s="57" t="str">
        <f t="shared" si="30"/>
        <v/>
      </c>
      <c r="L254" s="57" t="str">
        <f xml:space="preserve">
IF(OR('Dados da OS'!$D$8=Parâmetros!$B$3,'Dados da OS'!$D$8=Parâmetros!$B$4),
  IF(OR(ISBLANK(D254),ISBLANK(F254)),
     IF(OR(B254="ALI",B254="AIE"),"L",IF(ISBLANK(B254),"","A")),
     IF(B254="EE",IF(F254&gt;=3,IF(D254&gt;=5,"H","A"),
     IF(F254&gt;=2,IF(D254&gt;=16,"H",IF(D254&lt;=4,"L","A")),IF(D254&lt;=15,"L","A"))),
     IF(OR(B254="SE",B254="CE"),IF(F254&gt;=4,IF(D254&gt;=6,"H","A"),IF(F254&gt;=2,IF(D254&gt;=20,"H",IF(D254&lt;=5,"L","A")),IF(D254&lt;=19,"L","A"))),
     IF(OR(B254="ALI",B254="AIE"),IF(F254&gt;=6,IF(D254&gt;=20,"H","A"),IF(F254&gt;=2,IF(D254&gt;=51,"H",IF(D254&lt;=19,"L","A")),IF(D254&lt;=50,"L","A"))))))),
IF('Dados da OS'!$D$8=Parâmetros!$B$6,"Indicativa",
IF('Dados da OS'!$D$8=Parâmetros!$B$5,"PFS","")))</f>
        <v/>
      </c>
      <c r="M254" s="57">
        <f>IFERROR(VLOOKUP(C254,'Fatores de Impacto e INMs'!$A$3:$D$32,3,0),1)</f>
        <v>1</v>
      </c>
      <c r="N254" s="57">
        <f>IFERROR(VLOOKUP(C254,'Fatores de Impacto e INMs'!$A$3:$E$32,5,0),1)</f>
        <v>1</v>
      </c>
      <c r="O254" s="63" t="str">
        <f xml:space="preserve">
IF(OR('Dados da OS'!$D$8="Selecione o tipo da contagem",ISBLANK('Dados da OS'!$D$8),B254="INM",B254="N/A",ISBLANK(B254),ISBLANK(C254),N254="VF"),"-",
   IF('Dados da OS'!$D$8=Parâmetros!$B$3,
      IF(OR(ISBLANK(D254),ISBLANK(F254)),"-",
         IF(L254="L","Baixa",IF(L254="A","Média",IF(L254="H","Alta","-")))),
      IF('Dados da OS'!$D$8=Parâmetros!$B$4,
         IF(OR(B254="ALI",B254="AIE"),"Baixa",IF(OR(B254="EE",B254="SE",B254="CE"),"Média","-")),
         IF(OR('Dados da OS'!$D$8=Parâmetros!$B$5,'Dados da OS'!$D$8=Parâmetros!$B$6),"-"))))</f>
        <v>-</v>
      </c>
      <c r="P254" s="59" t="str">
        <f xml:space="preserve">
IF(OR(ISBLANK(B254),ISBLANK(C254),B254="N/A",ISBLANK('Dados da OS'!$D$8)),"",
   IF(OR('Dados da OS'!$D$8=Parâmetros!$B$3,'Dados da OS'!$D$8=Parâmetros!$B$4),
      IF(OR(AND(B254="INM",N254&lt;&gt;"VF"),AND(N254="VF",B254&lt;&gt;"INM")),"",
        IF(AND(B254="INM",N254="VF"),IF(ISBLANK(H254),"",M254*H254),
        IF('Dados da OS'!$D$8=Parâmetros!$B$4,
           IF(OR(B254="CE",B254="EE"),4,IF(B254="SE",5,IF(B254="ALI",7,IF(B254="AIE",5,"")))),
        IF('Dados da OS'!$D$8=Parâmetros!$B$3,
           IF(OR(ISBLANK(D254),ISBLANK(F254)),"",
              IF(B254="ALI",IF(L254="L",7,IF(L254="A",10,15)),
                 IF(B254="AIE",IF(L254="L",5,IF(L254="A",7,10)),
                    IF(B254="SE",IF(L254="L",4,IF(L254="A",5,7)),
                       IF(OR(B254="EE",B254="CE"),IF(L254="L",3,IF(L254="A",4,6)),""))))))))),
   IF('Dados da OS'!$D$8=Parâmetros!$B$5,
      IF(OR(AND(B254="INM",N254&lt;&gt;"VF"),AND(N254="VF",B254&lt;&gt;"INM")),"",
         IF(B254="INM",IF(N254="VF",M254*H254,""),
            IF(B254="PE",4.6,
            IF(B254="AL",7,"")))),
   IF('Dados da OS'!$D$8=Parâmetros!$B$6,
      IF(B254="ALI",35,IF(B254="AIE",15,"")),""))
    )
)</f>
        <v/>
      </c>
      <c r="Q254" s="60" t="str">
        <f t="shared" si="25"/>
        <v/>
      </c>
      <c r="R254" s="61"/>
      <c r="S254" s="62"/>
      <c r="T254" s="80" t="s">
        <v>21</v>
      </c>
      <c r="U254" s="81"/>
      <c r="V254" s="99"/>
      <c r="W254" s="55"/>
      <c r="X254" s="55"/>
      <c r="Y254" s="56"/>
      <c r="Z254" s="55"/>
      <c r="AA254" s="56"/>
      <c r="AB254" s="55"/>
      <c r="AC254" s="57" t="str">
        <f t="shared" si="26"/>
        <v/>
      </c>
      <c r="AD254" s="57" t="str">
        <f t="shared" si="27"/>
        <v/>
      </c>
      <c r="AE254" s="57" t="str">
        <f xml:space="preserve">
IF(OR('Dados da OS'!$D$8=Parâmetros!$B$3,'Dados da OS'!$D$8=Parâmetros!$B$4),
  IF(OR(ISBLANK(X254),ISBLANK(Z254)),
     IF(OR(V254="ALI",V254="AIE"),"L",IF(ISBLANK(V254),"","A")),
     IF(V254="EE",IF(Z254&gt;=3,IF(X254&gt;=5,"H","A"),
     IF(Z254&gt;=2,IF(X254&gt;=16,"H",IF(X254&lt;=4,"L","A")),IF(X254&lt;=15,"L","A"))),
     IF(OR(V254="SE",V254="CE"),IF(Z254&gt;=4,IF(X254&gt;=6,"H","A"),IF(Z254&gt;=2,IF(X254&gt;=20,"H",IF(X254&lt;=5,"L","A")),IF(X254&lt;=19,"L","A"))),
     IF(OR(V254="ALI",V254="AIE"),IF(Z254&gt;=6,IF(X254&gt;=20,"H","A"),IF(Z254&gt;=2,IF(X254&gt;=51,"H",IF(X254&lt;=19,"L","A")),IF(X254&lt;=50,"L","A"))))))),
IF('Dados da OS'!$D$8=Parâmetros!$B$6,"Indicativa",
IF('Dados da OS'!$D$8=Parâmetros!$B$5,"PFS","")))</f>
        <v/>
      </c>
      <c r="AF254" s="57">
        <f>IFERROR(VLOOKUP(W254,'Fatores de Impacto e INMs'!$A$3:$D$32,3,0),1)</f>
        <v>1</v>
      </c>
      <c r="AG254" s="57">
        <f>IFERROR(VLOOKUP(W254,'Fatores de Impacto e INMs'!$A$3:$E$32,5,0),1)</f>
        <v>1</v>
      </c>
      <c r="AH254" s="82" t="str">
        <f xml:space="preserve">
IF(OR('Dados da OS'!$D$8="Selecione o tipo da contagem",ISBLANK('Dados da OS'!$D$8),V254="INM",V254="N/A",ISBLANK(V254),ISBLANK(W254),AG254="VF"),"-",
   IF('Dados da OS'!$D$8=Parâmetros!$B$3,
      IF(OR(ISBLANK(X254),ISBLANK(Z254)),"-",
         IF(AE254="L","Baixa",IF(AE254="A","Média",IF(AE254="H","Alta","-")))),
      IF('Dados da OS'!$D$8=Parâmetros!$B$4,
         IF(OR(V254="ALI",V254="AIE"),"Baixa",IF(OR(V254="EE",V254="SE",V254="CE"),"Média","-")),
         IF(OR('Dados da OS'!$D$8=Parâmetros!$B$5,'Dados da OS'!$D$8=Parâmetros!$B$6),"-"))))</f>
        <v>-</v>
      </c>
      <c r="AI254" s="83" t="str">
        <f xml:space="preserve">
IF(OR(ISBLANK(V254),ISBLANK(U254),ISBLANK(W254),V254="N/A",ISBLANK('Dados da OS'!$D$8)),"",
   IF(OR('Dados da OS'!$D$8=Parâmetros!$B$3,'Dados da OS'!$D$8=Parâmetros!$B$4),
      IF(OR(AND(V254="INM",AG254&lt;&gt;"VF"),AND(AG254="VF",V254&lt;&gt;"INM")),"",
        IF(AND(V254="INM",AG254="VF"),IF(ISBLANK(AB254),"",AF254*AB254),
        IF('Dados da OS'!$D$8=Parâmetros!$B$4,
           IF(OR(V254="CE",V254="EE"),4,IF(V254="SE",5,IF(V254="ALI",7,IF(V254="AIE",5,"")))),
        IF('Dados da OS'!$D$8=Parâmetros!$B$3,
           IF(OR(ISBLANK(X254),ISBLANK(Z254)),"",
              IF(V254="ALI",IF(AE254="L",7,IF(AE254="A",10,15)),
                 IF(V254="AIE",IF(AE254="L",5,IF(AE254="A",7,10)),
                    IF(V254="SE",IF(AE254="L",4,IF(AE254="A",5,7)),
                       IF(OR(V254="EE",V254="CE"),IF(AE254="L",3,IF(AE254="A",4,6)),""))))))))),
   IF('Dados da OS'!$D$8=Parâmetros!$B$5,
      IF(OR(AND(V254="INM",AG254&lt;&gt;"VF"),AND(AG254="VF",V254&lt;&gt;"INM")),"",
         IF(V254="INM",IF(AG254="VF",AF254*AB254,""),
            IF(V254="PE",4.6,
            IF(V254="AL",7,"")))),
   IF('Dados da OS'!$D$8=Parâmetros!$B$6,
      IF(V254="ALI",35,IF(V254="AIE",15,"")),""))
    )
)</f>
        <v/>
      </c>
      <c r="AJ254" s="82" t="str">
        <f t="shared" si="28"/>
        <v/>
      </c>
      <c r="AK254" s="84"/>
      <c r="AL254" s="85" t="s">
        <v>21</v>
      </c>
      <c r="AM254" s="86"/>
      <c r="AN254" s="85"/>
      <c r="AO254" s="87"/>
      <c r="AP254" s="85"/>
      <c r="AQ254" s="86"/>
      <c r="AR254" s="85"/>
    </row>
    <row r="255" spans="1:44" ht="15.75" customHeight="1">
      <c r="A255" s="54"/>
      <c r="B255" s="100"/>
      <c r="C255" s="55"/>
      <c r="D255" s="55"/>
      <c r="E255" s="56"/>
      <c r="F255" s="55"/>
      <c r="G255" s="56"/>
      <c r="H255" s="55"/>
      <c r="I255" s="64"/>
      <c r="J255" s="57" t="str">
        <f t="shared" si="29"/>
        <v/>
      </c>
      <c r="K255" s="57" t="str">
        <f t="shared" si="30"/>
        <v/>
      </c>
      <c r="L255" s="57" t="str">
        <f xml:space="preserve">
IF(OR('Dados da OS'!$D$8=Parâmetros!$B$3,'Dados da OS'!$D$8=Parâmetros!$B$4),
  IF(OR(ISBLANK(D255),ISBLANK(F255)),
     IF(OR(B255="ALI",B255="AIE"),"L",IF(ISBLANK(B255),"","A")),
     IF(B255="EE",IF(F255&gt;=3,IF(D255&gt;=5,"H","A"),
     IF(F255&gt;=2,IF(D255&gt;=16,"H",IF(D255&lt;=4,"L","A")),IF(D255&lt;=15,"L","A"))),
     IF(OR(B255="SE",B255="CE"),IF(F255&gt;=4,IF(D255&gt;=6,"H","A"),IF(F255&gt;=2,IF(D255&gt;=20,"H",IF(D255&lt;=5,"L","A")),IF(D255&lt;=19,"L","A"))),
     IF(OR(B255="ALI",B255="AIE"),IF(F255&gt;=6,IF(D255&gt;=20,"H","A"),IF(F255&gt;=2,IF(D255&gt;=51,"H",IF(D255&lt;=19,"L","A")),IF(D255&lt;=50,"L","A"))))))),
IF('Dados da OS'!$D$8=Parâmetros!$B$6,"Indicativa",
IF('Dados da OS'!$D$8=Parâmetros!$B$5,"PFS","")))</f>
        <v/>
      </c>
      <c r="M255" s="57">
        <f>IFERROR(VLOOKUP(C255,'Fatores de Impacto e INMs'!$A$3:$D$32,3,0),1)</f>
        <v>1</v>
      </c>
      <c r="N255" s="57">
        <f>IFERROR(VLOOKUP(C255,'Fatores de Impacto e INMs'!$A$3:$E$32,5,0),1)</f>
        <v>1</v>
      </c>
      <c r="O255" s="63" t="str">
        <f xml:space="preserve">
IF(OR('Dados da OS'!$D$8="Selecione o tipo da contagem",ISBLANK('Dados da OS'!$D$8),B255="INM",B255="N/A",ISBLANK(B255),ISBLANK(C255),N255="VF"),"-",
   IF('Dados da OS'!$D$8=Parâmetros!$B$3,
      IF(OR(ISBLANK(D255),ISBLANK(F255)),"-",
         IF(L255="L","Baixa",IF(L255="A","Média",IF(L255="H","Alta","-")))),
      IF('Dados da OS'!$D$8=Parâmetros!$B$4,
         IF(OR(B255="ALI",B255="AIE"),"Baixa",IF(OR(B255="EE",B255="SE",B255="CE"),"Média","-")),
         IF(OR('Dados da OS'!$D$8=Parâmetros!$B$5,'Dados da OS'!$D$8=Parâmetros!$B$6),"-"))))</f>
        <v>-</v>
      </c>
      <c r="P255" s="59" t="str">
        <f xml:space="preserve">
IF(OR(ISBLANK(B255),ISBLANK(C255),B255="N/A",ISBLANK('Dados da OS'!$D$8)),"",
   IF(OR('Dados da OS'!$D$8=Parâmetros!$B$3,'Dados da OS'!$D$8=Parâmetros!$B$4),
      IF(OR(AND(B255="INM",N255&lt;&gt;"VF"),AND(N255="VF",B255&lt;&gt;"INM")),"",
        IF(AND(B255="INM",N255="VF"),IF(ISBLANK(H255),"",M255*H255),
        IF('Dados da OS'!$D$8=Parâmetros!$B$4,
           IF(OR(B255="CE",B255="EE"),4,IF(B255="SE",5,IF(B255="ALI",7,IF(B255="AIE",5,"")))),
        IF('Dados da OS'!$D$8=Parâmetros!$B$3,
           IF(OR(ISBLANK(D255),ISBLANK(F255)),"",
              IF(B255="ALI",IF(L255="L",7,IF(L255="A",10,15)),
                 IF(B255="AIE",IF(L255="L",5,IF(L255="A",7,10)),
                    IF(B255="SE",IF(L255="L",4,IF(L255="A",5,7)),
                       IF(OR(B255="EE",B255="CE"),IF(L255="L",3,IF(L255="A",4,6)),""))))))))),
   IF('Dados da OS'!$D$8=Parâmetros!$B$5,
      IF(OR(AND(B255="INM",N255&lt;&gt;"VF"),AND(N255="VF",B255&lt;&gt;"INM")),"",
         IF(B255="INM",IF(N255="VF",M255*H255,""),
            IF(B255="PE",4.6,
            IF(B255="AL",7,"")))),
   IF('Dados da OS'!$D$8=Parâmetros!$B$6,
      IF(B255="ALI",35,IF(B255="AIE",15,"")),""))
    )
)</f>
        <v/>
      </c>
      <c r="Q255" s="60" t="str">
        <f t="shared" si="25"/>
        <v/>
      </c>
      <c r="R255" s="61"/>
      <c r="S255" s="62"/>
      <c r="T255" s="80" t="s">
        <v>21</v>
      </c>
      <c r="U255" s="81"/>
      <c r="V255" s="99"/>
      <c r="W255" s="55"/>
      <c r="X255" s="55"/>
      <c r="Y255" s="56"/>
      <c r="Z255" s="55"/>
      <c r="AA255" s="56"/>
      <c r="AB255" s="55"/>
      <c r="AC255" s="57" t="str">
        <f t="shared" si="26"/>
        <v/>
      </c>
      <c r="AD255" s="57" t="str">
        <f t="shared" si="27"/>
        <v/>
      </c>
      <c r="AE255" s="57" t="str">
        <f xml:space="preserve">
IF(OR('Dados da OS'!$D$8=Parâmetros!$B$3,'Dados da OS'!$D$8=Parâmetros!$B$4),
  IF(OR(ISBLANK(X255),ISBLANK(Z255)),
     IF(OR(V255="ALI",V255="AIE"),"L",IF(ISBLANK(V255),"","A")),
     IF(V255="EE",IF(Z255&gt;=3,IF(X255&gt;=5,"H","A"),
     IF(Z255&gt;=2,IF(X255&gt;=16,"H",IF(X255&lt;=4,"L","A")),IF(X255&lt;=15,"L","A"))),
     IF(OR(V255="SE",V255="CE"),IF(Z255&gt;=4,IF(X255&gt;=6,"H","A"),IF(Z255&gt;=2,IF(X255&gt;=20,"H",IF(X255&lt;=5,"L","A")),IF(X255&lt;=19,"L","A"))),
     IF(OR(V255="ALI",V255="AIE"),IF(Z255&gt;=6,IF(X255&gt;=20,"H","A"),IF(Z255&gt;=2,IF(X255&gt;=51,"H",IF(X255&lt;=19,"L","A")),IF(X255&lt;=50,"L","A"))))))),
IF('Dados da OS'!$D$8=Parâmetros!$B$6,"Indicativa",
IF('Dados da OS'!$D$8=Parâmetros!$B$5,"PFS","")))</f>
        <v/>
      </c>
      <c r="AF255" s="57">
        <f>IFERROR(VLOOKUP(W255,'Fatores de Impacto e INMs'!$A$3:$D$32,3,0),1)</f>
        <v>1</v>
      </c>
      <c r="AG255" s="57">
        <f>IFERROR(VLOOKUP(W255,'Fatores de Impacto e INMs'!$A$3:$E$32,5,0),1)</f>
        <v>1</v>
      </c>
      <c r="AH255" s="82" t="str">
        <f xml:space="preserve">
IF(OR('Dados da OS'!$D$8="Selecione o tipo da contagem",ISBLANK('Dados da OS'!$D$8),V255="INM",V255="N/A",ISBLANK(V255),ISBLANK(W255),AG255="VF"),"-",
   IF('Dados da OS'!$D$8=Parâmetros!$B$3,
      IF(OR(ISBLANK(X255),ISBLANK(Z255)),"-",
         IF(AE255="L","Baixa",IF(AE255="A","Média",IF(AE255="H","Alta","-")))),
      IF('Dados da OS'!$D$8=Parâmetros!$B$4,
         IF(OR(V255="ALI",V255="AIE"),"Baixa",IF(OR(V255="EE",V255="SE",V255="CE"),"Média","-")),
         IF(OR('Dados da OS'!$D$8=Parâmetros!$B$5,'Dados da OS'!$D$8=Parâmetros!$B$6),"-"))))</f>
        <v>-</v>
      </c>
      <c r="AI255" s="83" t="str">
        <f xml:space="preserve">
IF(OR(ISBLANK(V255),ISBLANK(U255),ISBLANK(W255),V255="N/A",ISBLANK('Dados da OS'!$D$8)),"",
   IF(OR('Dados da OS'!$D$8=Parâmetros!$B$3,'Dados da OS'!$D$8=Parâmetros!$B$4),
      IF(OR(AND(V255="INM",AG255&lt;&gt;"VF"),AND(AG255="VF",V255&lt;&gt;"INM")),"",
        IF(AND(V255="INM",AG255="VF"),IF(ISBLANK(AB255),"",AF255*AB255),
        IF('Dados da OS'!$D$8=Parâmetros!$B$4,
           IF(OR(V255="CE",V255="EE"),4,IF(V255="SE",5,IF(V255="ALI",7,IF(V255="AIE",5,"")))),
        IF('Dados da OS'!$D$8=Parâmetros!$B$3,
           IF(OR(ISBLANK(X255),ISBLANK(Z255)),"",
              IF(V255="ALI",IF(AE255="L",7,IF(AE255="A",10,15)),
                 IF(V255="AIE",IF(AE255="L",5,IF(AE255="A",7,10)),
                    IF(V255="SE",IF(AE255="L",4,IF(AE255="A",5,7)),
                       IF(OR(V255="EE",V255="CE"),IF(AE255="L",3,IF(AE255="A",4,6)),""))))))))),
   IF('Dados da OS'!$D$8=Parâmetros!$B$5,
      IF(OR(AND(V255="INM",AG255&lt;&gt;"VF"),AND(AG255="VF",V255&lt;&gt;"INM")),"",
         IF(V255="INM",IF(AG255="VF",AF255*AB255,""),
            IF(V255="PE",4.6,
            IF(V255="AL",7,"")))),
   IF('Dados da OS'!$D$8=Parâmetros!$B$6,
      IF(V255="ALI",35,IF(V255="AIE",15,"")),""))
    )
)</f>
        <v/>
      </c>
      <c r="AJ255" s="82" t="str">
        <f t="shared" si="28"/>
        <v/>
      </c>
      <c r="AK255" s="84"/>
      <c r="AL255" s="85" t="s">
        <v>21</v>
      </c>
      <c r="AM255" s="86"/>
      <c r="AN255" s="85"/>
      <c r="AO255" s="87"/>
      <c r="AP255" s="85"/>
      <c r="AQ255" s="86"/>
      <c r="AR255" s="85"/>
    </row>
    <row r="256" spans="1:44" ht="15.75" customHeight="1">
      <c r="A256" s="54"/>
      <c r="B256" s="100"/>
      <c r="C256" s="55"/>
      <c r="D256" s="55"/>
      <c r="E256" s="56"/>
      <c r="F256" s="55"/>
      <c r="G256" s="56"/>
      <c r="H256" s="55"/>
      <c r="I256" s="64"/>
      <c r="J256" s="57" t="str">
        <f t="shared" si="29"/>
        <v/>
      </c>
      <c r="K256" s="57" t="str">
        <f t="shared" si="30"/>
        <v/>
      </c>
      <c r="L256" s="57" t="str">
        <f xml:space="preserve">
IF(OR('Dados da OS'!$D$8=Parâmetros!$B$3,'Dados da OS'!$D$8=Parâmetros!$B$4),
  IF(OR(ISBLANK(D256),ISBLANK(F256)),
     IF(OR(B256="ALI",B256="AIE"),"L",IF(ISBLANK(B256),"","A")),
     IF(B256="EE",IF(F256&gt;=3,IF(D256&gt;=5,"H","A"),
     IF(F256&gt;=2,IF(D256&gt;=16,"H",IF(D256&lt;=4,"L","A")),IF(D256&lt;=15,"L","A"))),
     IF(OR(B256="SE",B256="CE"),IF(F256&gt;=4,IF(D256&gt;=6,"H","A"),IF(F256&gt;=2,IF(D256&gt;=20,"H",IF(D256&lt;=5,"L","A")),IF(D256&lt;=19,"L","A"))),
     IF(OR(B256="ALI",B256="AIE"),IF(F256&gt;=6,IF(D256&gt;=20,"H","A"),IF(F256&gt;=2,IF(D256&gt;=51,"H",IF(D256&lt;=19,"L","A")),IF(D256&lt;=50,"L","A"))))))),
IF('Dados da OS'!$D$8=Parâmetros!$B$6,"Indicativa",
IF('Dados da OS'!$D$8=Parâmetros!$B$5,"PFS","")))</f>
        <v/>
      </c>
      <c r="M256" s="57">
        <f>IFERROR(VLOOKUP(C256,'Fatores de Impacto e INMs'!$A$3:$D$32,3,0),1)</f>
        <v>1</v>
      </c>
      <c r="N256" s="57">
        <f>IFERROR(VLOOKUP(C256,'Fatores de Impacto e INMs'!$A$3:$E$32,5,0),1)</f>
        <v>1</v>
      </c>
      <c r="O256" s="63" t="str">
        <f xml:space="preserve">
IF(OR('Dados da OS'!$D$8="Selecione o tipo da contagem",ISBLANK('Dados da OS'!$D$8),B256="INM",B256="N/A",ISBLANK(B256),ISBLANK(C256),N256="VF"),"-",
   IF('Dados da OS'!$D$8=Parâmetros!$B$3,
      IF(OR(ISBLANK(D256),ISBLANK(F256)),"-",
         IF(L256="L","Baixa",IF(L256="A","Média",IF(L256="H","Alta","-")))),
      IF('Dados da OS'!$D$8=Parâmetros!$B$4,
         IF(OR(B256="ALI",B256="AIE"),"Baixa",IF(OR(B256="EE",B256="SE",B256="CE"),"Média","-")),
         IF(OR('Dados da OS'!$D$8=Parâmetros!$B$5,'Dados da OS'!$D$8=Parâmetros!$B$6),"-"))))</f>
        <v>-</v>
      </c>
      <c r="P256" s="59" t="str">
        <f xml:space="preserve">
IF(OR(ISBLANK(B256),ISBLANK(C256),B256="N/A",ISBLANK('Dados da OS'!$D$8)),"",
   IF(OR('Dados da OS'!$D$8=Parâmetros!$B$3,'Dados da OS'!$D$8=Parâmetros!$B$4),
      IF(OR(AND(B256="INM",N256&lt;&gt;"VF"),AND(N256="VF",B256&lt;&gt;"INM")),"",
        IF(AND(B256="INM",N256="VF"),IF(ISBLANK(H256),"",M256*H256),
        IF('Dados da OS'!$D$8=Parâmetros!$B$4,
           IF(OR(B256="CE",B256="EE"),4,IF(B256="SE",5,IF(B256="ALI",7,IF(B256="AIE",5,"")))),
        IF('Dados da OS'!$D$8=Parâmetros!$B$3,
           IF(OR(ISBLANK(D256),ISBLANK(F256)),"",
              IF(B256="ALI",IF(L256="L",7,IF(L256="A",10,15)),
                 IF(B256="AIE",IF(L256="L",5,IF(L256="A",7,10)),
                    IF(B256="SE",IF(L256="L",4,IF(L256="A",5,7)),
                       IF(OR(B256="EE",B256="CE"),IF(L256="L",3,IF(L256="A",4,6)),""))))))))),
   IF('Dados da OS'!$D$8=Parâmetros!$B$5,
      IF(OR(AND(B256="INM",N256&lt;&gt;"VF"),AND(N256="VF",B256&lt;&gt;"INM")),"",
         IF(B256="INM",IF(N256="VF",M256*H256,""),
            IF(B256="PE",4.6,
            IF(B256="AL",7,"")))),
   IF('Dados da OS'!$D$8=Parâmetros!$B$6,
      IF(B256="ALI",35,IF(B256="AIE",15,"")),""))
    )
)</f>
        <v/>
      </c>
      <c r="Q256" s="60" t="str">
        <f t="shared" si="25"/>
        <v/>
      </c>
      <c r="R256" s="61"/>
      <c r="S256" s="62"/>
      <c r="T256" s="80" t="s">
        <v>21</v>
      </c>
      <c r="U256" s="81"/>
      <c r="V256" s="99"/>
      <c r="W256" s="55"/>
      <c r="X256" s="55"/>
      <c r="Y256" s="56"/>
      <c r="Z256" s="55"/>
      <c r="AA256" s="56"/>
      <c r="AB256" s="55"/>
      <c r="AC256" s="57" t="str">
        <f t="shared" si="26"/>
        <v/>
      </c>
      <c r="AD256" s="57" t="str">
        <f t="shared" si="27"/>
        <v/>
      </c>
      <c r="AE256" s="57" t="str">
        <f xml:space="preserve">
IF(OR('Dados da OS'!$D$8=Parâmetros!$B$3,'Dados da OS'!$D$8=Parâmetros!$B$4),
  IF(OR(ISBLANK(X256),ISBLANK(Z256)),
     IF(OR(V256="ALI",V256="AIE"),"L",IF(ISBLANK(V256),"","A")),
     IF(V256="EE",IF(Z256&gt;=3,IF(X256&gt;=5,"H","A"),
     IF(Z256&gt;=2,IF(X256&gt;=16,"H",IF(X256&lt;=4,"L","A")),IF(X256&lt;=15,"L","A"))),
     IF(OR(V256="SE",V256="CE"),IF(Z256&gt;=4,IF(X256&gt;=6,"H","A"),IF(Z256&gt;=2,IF(X256&gt;=20,"H",IF(X256&lt;=5,"L","A")),IF(X256&lt;=19,"L","A"))),
     IF(OR(V256="ALI",V256="AIE"),IF(Z256&gt;=6,IF(X256&gt;=20,"H","A"),IF(Z256&gt;=2,IF(X256&gt;=51,"H",IF(X256&lt;=19,"L","A")),IF(X256&lt;=50,"L","A"))))))),
IF('Dados da OS'!$D$8=Parâmetros!$B$6,"Indicativa",
IF('Dados da OS'!$D$8=Parâmetros!$B$5,"PFS","")))</f>
        <v/>
      </c>
      <c r="AF256" s="57">
        <f>IFERROR(VLOOKUP(W256,'Fatores de Impacto e INMs'!$A$3:$D$32,3,0),1)</f>
        <v>1</v>
      </c>
      <c r="AG256" s="57">
        <f>IFERROR(VLOOKUP(W256,'Fatores de Impacto e INMs'!$A$3:$E$32,5,0),1)</f>
        <v>1</v>
      </c>
      <c r="AH256" s="82" t="str">
        <f xml:space="preserve">
IF(OR('Dados da OS'!$D$8="Selecione o tipo da contagem",ISBLANK('Dados da OS'!$D$8),V256="INM",V256="N/A",ISBLANK(V256),ISBLANK(W256),AG256="VF"),"-",
   IF('Dados da OS'!$D$8=Parâmetros!$B$3,
      IF(OR(ISBLANK(X256),ISBLANK(Z256)),"-",
         IF(AE256="L","Baixa",IF(AE256="A","Média",IF(AE256="H","Alta","-")))),
      IF('Dados da OS'!$D$8=Parâmetros!$B$4,
         IF(OR(V256="ALI",V256="AIE"),"Baixa",IF(OR(V256="EE",V256="SE",V256="CE"),"Média","-")),
         IF(OR('Dados da OS'!$D$8=Parâmetros!$B$5,'Dados da OS'!$D$8=Parâmetros!$B$6),"-"))))</f>
        <v>-</v>
      </c>
      <c r="AI256" s="83" t="str">
        <f xml:space="preserve">
IF(OR(ISBLANK(V256),ISBLANK(U256),ISBLANK(W256),V256="N/A",ISBLANK('Dados da OS'!$D$8)),"",
   IF(OR('Dados da OS'!$D$8=Parâmetros!$B$3,'Dados da OS'!$D$8=Parâmetros!$B$4),
      IF(OR(AND(V256="INM",AG256&lt;&gt;"VF"),AND(AG256="VF",V256&lt;&gt;"INM")),"",
        IF(AND(V256="INM",AG256="VF"),IF(ISBLANK(AB256),"",AF256*AB256),
        IF('Dados da OS'!$D$8=Parâmetros!$B$4,
           IF(OR(V256="CE",V256="EE"),4,IF(V256="SE",5,IF(V256="ALI",7,IF(V256="AIE",5,"")))),
        IF('Dados da OS'!$D$8=Parâmetros!$B$3,
           IF(OR(ISBLANK(X256),ISBLANK(Z256)),"",
              IF(V256="ALI",IF(AE256="L",7,IF(AE256="A",10,15)),
                 IF(V256="AIE",IF(AE256="L",5,IF(AE256="A",7,10)),
                    IF(V256="SE",IF(AE256="L",4,IF(AE256="A",5,7)),
                       IF(OR(V256="EE",V256="CE"),IF(AE256="L",3,IF(AE256="A",4,6)),""))))))))),
   IF('Dados da OS'!$D$8=Parâmetros!$B$5,
      IF(OR(AND(V256="INM",AG256&lt;&gt;"VF"),AND(AG256="VF",V256&lt;&gt;"INM")),"",
         IF(V256="INM",IF(AG256="VF",AF256*AB256,""),
            IF(V256="PE",4.6,
            IF(V256="AL",7,"")))),
   IF('Dados da OS'!$D$8=Parâmetros!$B$6,
      IF(V256="ALI",35,IF(V256="AIE",15,"")),""))
    )
)</f>
        <v/>
      </c>
      <c r="AJ256" s="82" t="str">
        <f t="shared" si="28"/>
        <v/>
      </c>
      <c r="AK256" s="84"/>
      <c r="AL256" s="85" t="s">
        <v>21</v>
      </c>
      <c r="AM256" s="86"/>
      <c r="AN256" s="85"/>
      <c r="AO256" s="87"/>
      <c r="AP256" s="85"/>
      <c r="AQ256" s="86"/>
      <c r="AR256" s="85"/>
    </row>
    <row r="257" spans="1:44" ht="15.75" customHeight="1">
      <c r="A257" s="54"/>
      <c r="B257" s="100"/>
      <c r="C257" s="55"/>
      <c r="D257" s="55"/>
      <c r="E257" s="56"/>
      <c r="F257" s="55"/>
      <c r="G257" s="56"/>
      <c r="H257" s="55"/>
      <c r="I257" s="64"/>
      <c r="J257" s="57" t="str">
        <f t="shared" si="29"/>
        <v/>
      </c>
      <c r="K257" s="57" t="str">
        <f t="shared" si="30"/>
        <v/>
      </c>
      <c r="L257" s="57" t="str">
        <f xml:space="preserve">
IF(OR('Dados da OS'!$D$8=Parâmetros!$B$3,'Dados da OS'!$D$8=Parâmetros!$B$4),
  IF(OR(ISBLANK(D257),ISBLANK(F257)),
     IF(OR(B257="ALI",B257="AIE"),"L",IF(ISBLANK(B257),"","A")),
     IF(B257="EE",IF(F257&gt;=3,IF(D257&gt;=5,"H","A"),
     IF(F257&gt;=2,IF(D257&gt;=16,"H",IF(D257&lt;=4,"L","A")),IF(D257&lt;=15,"L","A"))),
     IF(OR(B257="SE",B257="CE"),IF(F257&gt;=4,IF(D257&gt;=6,"H","A"),IF(F257&gt;=2,IF(D257&gt;=20,"H",IF(D257&lt;=5,"L","A")),IF(D257&lt;=19,"L","A"))),
     IF(OR(B257="ALI",B257="AIE"),IF(F257&gt;=6,IF(D257&gt;=20,"H","A"),IF(F257&gt;=2,IF(D257&gt;=51,"H",IF(D257&lt;=19,"L","A")),IF(D257&lt;=50,"L","A"))))))),
IF('Dados da OS'!$D$8=Parâmetros!$B$6,"Indicativa",
IF('Dados da OS'!$D$8=Parâmetros!$B$5,"PFS","")))</f>
        <v/>
      </c>
      <c r="M257" s="57">
        <f>IFERROR(VLOOKUP(C257,'Fatores de Impacto e INMs'!$A$3:$D$32,3,0),1)</f>
        <v>1</v>
      </c>
      <c r="N257" s="57">
        <f>IFERROR(VLOOKUP(C257,'Fatores de Impacto e INMs'!$A$3:$E$32,5,0),1)</f>
        <v>1</v>
      </c>
      <c r="O257" s="63" t="str">
        <f xml:space="preserve">
IF(OR('Dados da OS'!$D$8="Selecione o tipo da contagem",ISBLANK('Dados da OS'!$D$8),B257="INM",B257="N/A",ISBLANK(B257),ISBLANK(C257),N257="VF"),"-",
   IF('Dados da OS'!$D$8=Parâmetros!$B$3,
      IF(OR(ISBLANK(D257),ISBLANK(F257)),"-",
         IF(L257="L","Baixa",IF(L257="A","Média",IF(L257="H","Alta","-")))),
      IF('Dados da OS'!$D$8=Parâmetros!$B$4,
         IF(OR(B257="ALI",B257="AIE"),"Baixa",IF(OR(B257="EE",B257="SE",B257="CE"),"Média","-")),
         IF(OR('Dados da OS'!$D$8=Parâmetros!$B$5,'Dados da OS'!$D$8=Parâmetros!$B$6),"-"))))</f>
        <v>-</v>
      </c>
      <c r="P257" s="59" t="str">
        <f xml:space="preserve">
IF(OR(ISBLANK(B257),ISBLANK(C257),B257="N/A",ISBLANK('Dados da OS'!$D$8)),"",
   IF(OR('Dados da OS'!$D$8=Parâmetros!$B$3,'Dados da OS'!$D$8=Parâmetros!$B$4),
      IF(OR(AND(B257="INM",N257&lt;&gt;"VF"),AND(N257="VF",B257&lt;&gt;"INM")),"",
        IF(AND(B257="INM",N257="VF"),IF(ISBLANK(H257),"",M257*H257),
        IF('Dados da OS'!$D$8=Parâmetros!$B$4,
           IF(OR(B257="CE",B257="EE"),4,IF(B257="SE",5,IF(B257="ALI",7,IF(B257="AIE",5,"")))),
        IF('Dados da OS'!$D$8=Parâmetros!$B$3,
           IF(OR(ISBLANK(D257),ISBLANK(F257)),"",
              IF(B257="ALI",IF(L257="L",7,IF(L257="A",10,15)),
                 IF(B257="AIE",IF(L257="L",5,IF(L257="A",7,10)),
                    IF(B257="SE",IF(L257="L",4,IF(L257="A",5,7)),
                       IF(OR(B257="EE",B257="CE"),IF(L257="L",3,IF(L257="A",4,6)),""))))))))),
   IF('Dados da OS'!$D$8=Parâmetros!$B$5,
      IF(OR(AND(B257="INM",N257&lt;&gt;"VF"),AND(N257="VF",B257&lt;&gt;"INM")),"",
         IF(B257="INM",IF(N257="VF",M257*H257,""),
            IF(B257="PE",4.6,
            IF(B257="AL",7,"")))),
   IF('Dados da OS'!$D$8=Parâmetros!$B$6,
      IF(B257="ALI",35,IF(B257="AIE",15,"")),""))
    )
)</f>
        <v/>
      </c>
      <c r="Q257" s="60" t="str">
        <f t="shared" si="25"/>
        <v/>
      </c>
      <c r="R257" s="61"/>
      <c r="S257" s="62"/>
      <c r="T257" s="80" t="s">
        <v>21</v>
      </c>
      <c r="U257" s="81"/>
      <c r="V257" s="99"/>
      <c r="W257" s="55"/>
      <c r="X257" s="55"/>
      <c r="Y257" s="56"/>
      <c r="Z257" s="55"/>
      <c r="AA257" s="56"/>
      <c r="AB257" s="55"/>
      <c r="AC257" s="57" t="str">
        <f t="shared" si="26"/>
        <v/>
      </c>
      <c r="AD257" s="57" t="str">
        <f t="shared" si="27"/>
        <v/>
      </c>
      <c r="AE257" s="57" t="str">
        <f xml:space="preserve">
IF(OR('Dados da OS'!$D$8=Parâmetros!$B$3,'Dados da OS'!$D$8=Parâmetros!$B$4),
  IF(OR(ISBLANK(X257),ISBLANK(Z257)),
     IF(OR(V257="ALI",V257="AIE"),"L",IF(ISBLANK(V257),"","A")),
     IF(V257="EE",IF(Z257&gt;=3,IF(X257&gt;=5,"H","A"),
     IF(Z257&gt;=2,IF(X257&gt;=16,"H",IF(X257&lt;=4,"L","A")),IF(X257&lt;=15,"L","A"))),
     IF(OR(V257="SE",V257="CE"),IF(Z257&gt;=4,IF(X257&gt;=6,"H","A"),IF(Z257&gt;=2,IF(X257&gt;=20,"H",IF(X257&lt;=5,"L","A")),IF(X257&lt;=19,"L","A"))),
     IF(OR(V257="ALI",V257="AIE"),IF(Z257&gt;=6,IF(X257&gt;=20,"H","A"),IF(Z257&gt;=2,IF(X257&gt;=51,"H",IF(X257&lt;=19,"L","A")),IF(X257&lt;=50,"L","A"))))))),
IF('Dados da OS'!$D$8=Parâmetros!$B$6,"Indicativa",
IF('Dados da OS'!$D$8=Parâmetros!$B$5,"PFS","")))</f>
        <v/>
      </c>
      <c r="AF257" s="57">
        <f>IFERROR(VLOOKUP(W257,'Fatores de Impacto e INMs'!$A$3:$D$32,3,0),1)</f>
        <v>1</v>
      </c>
      <c r="AG257" s="57">
        <f>IFERROR(VLOOKUP(W257,'Fatores de Impacto e INMs'!$A$3:$E$32,5,0),1)</f>
        <v>1</v>
      </c>
      <c r="AH257" s="82" t="str">
        <f xml:space="preserve">
IF(OR('Dados da OS'!$D$8="Selecione o tipo da contagem",ISBLANK('Dados da OS'!$D$8),V257="INM",V257="N/A",ISBLANK(V257),ISBLANK(W257),AG257="VF"),"-",
   IF('Dados da OS'!$D$8=Parâmetros!$B$3,
      IF(OR(ISBLANK(X257),ISBLANK(Z257)),"-",
         IF(AE257="L","Baixa",IF(AE257="A","Média",IF(AE257="H","Alta","-")))),
      IF('Dados da OS'!$D$8=Parâmetros!$B$4,
         IF(OR(V257="ALI",V257="AIE"),"Baixa",IF(OR(V257="EE",V257="SE",V257="CE"),"Média","-")),
         IF(OR('Dados da OS'!$D$8=Parâmetros!$B$5,'Dados da OS'!$D$8=Parâmetros!$B$6),"-"))))</f>
        <v>-</v>
      </c>
      <c r="AI257" s="83" t="str">
        <f xml:space="preserve">
IF(OR(ISBLANK(V257),ISBLANK(U257),ISBLANK(W257),V257="N/A",ISBLANK('Dados da OS'!$D$8)),"",
   IF(OR('Dados da OS'!$D$8=Parâmetros!$B$3,'Dados da OS'!$D$8=Parâmetros!$B$4),
      IF(OR(AND(V257="INM",AG257&lt;&gt;"VF"),AND(AG257="VF",V257&lt;&gt;"INM")),"",
        IF(AND(V257="INM",AG257="VF"),IF(ISBLANK(AB257),"",AF257*AB257),
        IF('Dados da OS'!$D$8=Parâmetros!$B$4,
           IF(OR(V257="CE",V257="EE"),4,IF(V257="SE",5,IF(V257="ALI",7,IF(V257="AIE",5,"")))),
        IF('Dados da OS'!$D$8=Parâmetros!$B$3,
           IF(OR(ISBLANK(X257),ISBLANK(Z257)),"",
              IF(V257="ALI",IF(AE257="L",7,IF(AE257="A",10,15)),
                 IF(V257="AIE",IF(AE257="L",5,IF(AE257="A",7,10)),
                    IF(V257="SE",IF(AE257="L",4,IF(AE257="A",5,7)),
                       IF(OR(V257="EE",V257="CE"),IF(AE257="L",3,IF(AE257="A",4,6)),""))))))))),
   IF('Dados da OS'!$D$8=Parâmetros!$B$5,
      IF(OR(AND(V257="INM",AG257&lt;&gt;"VF"),AND(AG257="VF",V257&lt;&gt;"INM")),"",
         IF(V257="INM",IF(AG257="VF",AF257*AB257,""),
            IF(V257="PE",4.6,
            IF(V257="AL",7,"")))),
   IF('Dados da OS'!$D$8=Parâmetros!$B$6,
      IF(V257="ALI",35,IF(V257="AIE",15,"")),""))
    )
)</f>
        <v/>
      </c>
      <c r="AJ257" s="82" t="str">
        <f t="shared" si="28"/>
        <v/>
      </c>
      <c r="AK257" s="84"/>
      <c r="AL257" s="85" t="s">
        <v>21</v>
      </c>
      <c r="AM257" s="86"/>
      <c r="AN257" s="85"/>
      <c r="AO257" s="87"/>
      <c r="AP257" s="85"/>
      <c r="AQ257" s="86"/>
      <c r="AR257" s="85"/>
    </row>
    <row r="258" spans="1:44" ht="15.75" customHeight="1">
      <c r="A258" s="54"/>
      <c r="B258" s="100"/>
      <c r="C258" s="55"/>
      <c r="D258" s="55"/>
      <c r="E258" s="56"/>
      <c r="F258" s="55"/>
      <c r="G258" s="56"/>
      <c r="H258" s="55"/>
      <c r="I258" s="64"/>
      <c r="J258" s="57" t="str">
        <f t="shared" si="29"/>
        <v/>
      </c>
      <c r="K258" s="57" t="str">
        <f t="shared" si="30"/>
        <v/>
      </c>
      <c r="L258" s="57" t="str">
        <f xml:space="preserve">
IF(OR('Dados da OS'!$D$8=Parâmetros!$B$3,'Dados da OS'!$D$8=Parâmetros!$B$4),
  IF(OR(ISBLANK(D258),ISBLANK(F258)),
     IF(OR(B258="ALI",B258="AIE"),"L",IF(ISBLANK(B258),"","A")),
     IF(B258="EE",IF(F258&gt;=3,IF(D258&gt;=5,"H","A"),
     IF(F258&gt;=2,IF(D258&gt;=16,"H",IF(D258&lt;=4,"L","A")),IF(D258&lt;=15,"L","A"))),
     IF(OR(B258="SE",B258="CE"),IF(F258&gt;=4,IF(D258&gt;=6,"H","A"),IF(F258&gt;=2,IF(D258&gt;=20,"H",IF(D258&lt;=5,"L","A")),IF(D258&lt;=19,"L","A"))),
     IF(OR(B258="ALI",B258="AIE"),IF(F258&gt;=6,IF(D258&gt;=20,"H","A"),IF(F258&gt;=2,IF(D258&gt;=51,"H",IF(D258&lt;=19,"L","A")),IF(D258&lt;=50,"L","A"))))))),
IF('Dados da OS'!$D$8=Parâmetros!$B$6,"Indicativa",
IF('Dados da OS'!$D$8=Parâmetros!$B$5,"PFS","")))</f>
        <v/>
      </c>
      <c r="M258" s="57">
        <f>IFERROR(VLOOKUP(C258,'Fatores de Impacto e INMs'!$A$3:$D$32,3,0),1)</f>
        <v>1</v>
      </c>
      <c r="N258" s="57">
        <f>IFERROR(VLOOKUP(C258,'Fatores de Impacto e INMs'!$A$3:$E$32,5,0),1)</f>
        <v>1</v>
      </c>
      <c r="O258" s="63" t="str">
        <f xml:space="preserve">
IF(OR('Dados da OS'!$D$8="Selecione o tipo da contagem",ISBLANK('Dados da OS'!$D$8),B258="INM",B258="N/A",ISBLANK(B258),ISBLANK(C258),N258="VF"),"-",
   IF('Dados da OS'!$D$8=Parâmetros!$B$3,
      IF(OR(ISBLANK(D258),ISBLANK(F258)),"-",
         IF(L258="L","Baixa",IF(L258="A","Média",IF(L258="H","Alta","-")))),
      IF('Dados da OS'!$D$8=Parâmetros!$B$4,
         IF(OR(B258="ALI",B258="AIE"),"Baixa",IF(OR(B258="EE",B258="SE",B258="CE"),"Média","-")),
         IF(OR('Dados da OS'!$D$8=Parâmetros!$B$5,'Dados da OS'!$D$8=Parâmetros!$B$6),"-"))))</f>
        <v>-</v>
      </c>
      <c r="P258" s="59" t="str">
        <f xml:space="preserve">
IF(OR(ISBLANK(B258),ISBLANK(C258),B258="N/A",ISBLANK('Dados da OS'!$D$8)),"",
   IF(OR('Dados da OS'!$D$8=Parâmetros!$B$3,'Dados da OS'!$D$8=Parâmetros!$B$4),
      IF(OR(AND(B258="INM",N258&lt;&gt;"VF"),AND(N258="VF",B258&lt;&gt;"INM")),"",
        IF(AND(B258="INM",N258="VF"),IF(ISBLANK(H258),"",M258*H258),
        IF('Dados da OS'!$D$8=Parâmetros!$B$4,
           IF(OR(B258="CE",B258="EE"),4,IF(B258="SE",5,IF(B258="ALI",7,IF(B258="AIE",5,"")))),
        IF('Dados da OS'!$D$8=Parâmetros!$B$3,
           IF(OR(ISBLANK(D258),ISBLANK(F258)),"",
              IF(B258="ALI",IF(L258="L",7,IF(L258="A",10,15)),
                 IF(B258="AIE",IF(L258="L",5,IF(L258="A",7,10)),
                    IF(B258="SE",IF(L258="L",4,IF(L258="A",5,7)),
                       IF(OR(B258="EE",B258="CE"),IF(L258="L",3,IF(L258="A",4,6)),""))))))))),
   IF('Dados da OS'!$D$8=Parâmetros!$B$5,
      IF(OR(AND(B258="INM",N258&lt;&gt;"VF"),AND(N258="VF",B258&lt;&gt;"INM")),"",
         IF(B258="INM",IF(N258="VF",M258*H258,""),
            IF(B258="PE",4.6,
            IF(B258="AL",7,"")))),
   IF('Dados da OS'!$D$8=Parâmetros!$B$6,
      IF(B258="ALI",35,IF(B258="AIE",15,"")),""))
    )
)</f>
        <v/>
      </c>
      <c r="Q258" s="60" t="str">
        <f t="shared" si="25"/>
        <v/>
      </c>
      <c r="R258" s="61"/>
      <c r="S258" s="62"/>
      <c r="T258" s="80" t="s">
        <v>21</v>
      </c>
      <c r="U258" s="81"/>
      <c r="V258" s="99"/>
      <c r="W258" s="55"/>
      <c r="X258" s="55"/>
      <c r="Y258" s="56"/>
      <c r="Z258" s="55"/>
      <c r="AA258" s="56"/>
      <c r="AB258" s="55"/>
      <c r="AC258" s="57" t="str">
        <f t="shared" si="26"/>
        <v/>
      </c>
      <c r="AD258" s="57" t="str">
        <f t="shared" si="27"/>
        <v/>
      </c>
      <c r="AE258" s="57" t="str">
        <f xml:space="preserve">
IF(OR('Dados da OS'!$D$8=Parâmetros!$B$3,'Dados da OS'!$D$8=Parâmetros!$B$4),
  IF(OR(ISBLANK(X258),ISBLANK(Z258)),
     IF(OR(V258="ALI",V258="AIE"),"L",IF(ISBLANK(V258),"","A")),
     IF(V258="EE",IF(Z258&gt;=3,IF(X258&gt;=5,"H","A"),
     IF(Z258&gt;=2,IF(X258&gt;=16,"H",IF(X258&lt;=4,"L","A")),IF(X258&lt;=15,"L","A"))),
     IF(OR(V258="SE",V258="CE"),IF(Z258&gt;=4,IF(X258&gt;=6,"H","A"),IF(Z258&gt;=2,IF(X258&gt;=20,"H",IF(X258&lt;=5,"L","A")),IF(X258&lt;=19,"L","A"))),
     IF(OR(V258="ALI",V258="AIE"),IF(Z258&gt;=6,IF(X258&gt;=20,"H","A"),IF(Z258&gt;=2,IF(X258&gt;=51,"H",IF(X258&lt;=19,"L","A")),IF(X258&lt;=50,"L","A"))))))),
IF('Dados da OS'!$D$8=Parâmetros!$B$6,"Indicativa",
IF('Dados da OS'!$D$8=Parâmetros!$B$5,"PFS","")))</f>
        <v/>
      </c>
      <c r="AF258" s="57">
        <f>IFERROR(VLOOKUP(W258,'Fatores de Impacto e INMs'!$A$3:$D$32,3,0),1)</f>
        <v>1</v>
      </c>
      <c r="AG258" s="57">
        <f>IFERROR(VLOOKUP(W258,'Fatores de Impacto e INMs'!$A$3:$E$32,5,0),1)</f>
        <v>1</v>
      </c>
      <c r="AH258" s="82" t="str">
        <f xml:space="preserve">
IF(OR('Dados da OS'!$D$8="Selecione o tipo da contagem",ISBLANK('Dados da OS'!$D$8),V258="INM",V258="N/A",ISBLANK(V258),ISBLANK(W258),AG258="VF"),"-",
   IF('Dados da OS'!$D$8=Parâmetros!$B$3,
      IF(OR(ISBLANK(X258),ISBLANK(Z258)),"-",
         IF(AE258="L","Baixa",IF(AE258="A","Média",IF(AE258="H","Alta","-")))),
      IF('Dados da OS'!$D$8=Parâmetros!$B$4,
         IF(OR(V258="ALI",V258="AIE"),"Baixa",IF(OR(V258="EE",V258="SE",V258="CE"),"Média","-")),
         IF(OR('Dados da OS'!$D$8=Parâmetros!$B$5,'Dados da OS'!$D$8=Parâmetros!$B$6),"-"))))</f>
        <v>-</v>
      </c>
      <c r="AI258" s="83" t="str">
        <f xml:space="preserve">
IF(OR(ISBLANK(V258),ISBLANK(U258),ISBLANK(W258),V258="N/A",ISBLANK('Dados da OS'!$D$8)),"",
   IF(OR('Dados da OS'!$D$8=Parâmetros!$B$3,'Dados da OS'!$D$8=Parâmetros!$B$4),
      IF(OR(AND(V258="INM",AG258&lt;&gt;"VF"),AND(AG258="VF",V258&lt;&gt;"INM")),"",
        IF(AND(V258="INM",AG258="VF"),IF(ISBLANK(AB258),"",AF258*AB258),
        IF('Dados da OS'!$D$8=Parâmetros!$B$4,
           IF(OR(V258="CE",V258="EE"),4,IF(V258="SE",5,IF(V258="ALI",7,IF(V258="AIE",5,"")))),
        IF('Dados da OS'!$D$8=Parâmetros!$B$3,
           IF(OR(ISBLANK(X258),ISBLANK(Z258)),"",
              IF(V258="ALI",IF(AE258="L",7,IF(AE258="A",10,15)),
                 IF(V258="AIE",IF(AE258="L",5,IF(AE258="A",7,10)),
                    IF(V258="SE",IF(AE258="L",4,IF(AE258="A",5,7)),
                       IF(OR(V258="EE",V258="CE"),IF(AE258="L",3,IF(AE258="A",4,6)),""))))))))),
   IF('Dados da OS'!$D$8=Parâmetros!$B$5,
      IF(OR(AND(V258="INM",AG258&lt;&gt;"VF"),AND(AG258="VF",V258&lt;&gt;"INM")),"",
         IF(V258="INM",IF(AG258="VF",AF258*AB258,""),
            IF(V258="PE",4.6,
            IF(V258="AL",7,"")))),
   IF('Dados da OS'!$D$8=Parâmetros!$B$6,
      IF(V258="ALI",35,IF(V258="AIE",15,"")),""))
    )
)</f>
        <v/>
      </c>
      <c r="AJ258" s="82" t="str">
        <f t="shared" si="28"/>
        <v/>
      </c>
      <c r="AK258" s="84"/>
      <c r="AL258" s="85" t="s">
        <v>21</v>
      </c>
      <c r="AM258" s="86"/>
      <c r="AN258" s="85"/>
      <c r="AO258" s="87"/>
      <c r="AP258" s="85"/>
      <c r="AQ258" s="86"/>
      <c r="AR258" s="85"/>
    </row>
    <row r="259" spans="1:44" ht="15.75" customHeight="1">
      <c r="A259" s="54"/>
      <c r="B259" s="100"/>
      <c r="C259" s="55"/>
      <c r="D259" s="55"/>
      <c r="E259" s="56"/>
      <c r="F259" s="55"/>
      <c r="G259" s="56"/>
      <c r="H259" s="55"/>
      <c r="I259" s="64"/>
      <c r="J259" s="57" t="str">
        <f t="shared" si="29"/>
        <v/>
      </c>
      <c r="K259" s="57" t="str">
        <f t="shared" si="30"/>
        <v/>
      </c>
      <c r="L259" s="57" t="str">
        <f xml:space="preserve">
IF(OR('Dados da OS'!$D$8=Parâmetros!$B$3,'Dados da OS'!$D$8=Parâmetros!$B$4),
  IF(OR(ISBLANK(D259),ISBLANK(F259)),
     IF(OR(B259="ALI",B259="AIE"),"L",IF(ISBLANK(B259),"","A")),
     IF(B259="EE",IF(F259&gt;=3,IF(D259&gt;=5,"H","A"),
     IF(F259&gt;=2,IF(D259&gt;=16,"H",IF(D259&lt;=4,"L","A")),IF(D259&lt;=15,"L","A"))),
     IF(OR(B259="SE",B259="CE"),IF(F259&gt;=4,IF(D259&gt;=6,"H","A"),IF(F259&gt;=2,IF(D259&gt;=20,"H",IF(D259&lt;=5,"L","A")),IF(D259&lt;=19,"L","A"))),
     IF(OR(B259="ALI",B259="AIE"),IF(F259&gt;=6,IF(D259&gt;=20,"H","A"),IF(F259&gt;=2,IF(D259&gt;=51,"H",IF(D259&lt;=19,"L","A")),IF(D259&lt;=50,"L","A"))))))),
IF('Dados da OS'!$D$8=Parâmetros!$B$6,"Indicativa",
IF('Dados da OS'!$D$8=Parâmetros!$B$5,"PFS","")))</f>
        <v/>
      </c>
      <c r="M259" s="57">
        <f>IFERROR(VLOOKUP(C259,'Fatores de Impacto e INMs'!$A$3:$D$32,3,0),1)</f>
        <v>1</v>
      </c>
      <c r="N259" s="57">
        <f>IFERROR(VLOOKUP(C259,'Fatores de Impacto e INMs'!$A$3:$E$32,5,0),1)</f>
        <v>1</v>
      </c>
      <c r="O259" s="63" t="str">
        <f xml:space="preserve">
IF(OR('Dados da OS'!$D$8="Selecione o tipo da contagem",ISBLANK('Dados da OS'!$D$8),B259="INM",B259="N/A",ISBLANK(B259),ISBLANK(C259),N259="VF"),"-",
   IF('Dados da OS'!$D$8=Parâmetros!$B$3,
      IF(OR(ISBLANK(D259),ISBLANK(F259)),"-",
         IF(L259="L","Baixa",IF(L259="A","Média",IF(L259="H","Alta","-")))),
      IF('Dados da OS'!$D$8=Parâmetros!$B$4,
         IF(OR(B259="ALI",B259="AIE"),"Baixa",IF(OR(B259="EE",B259="SE",B259="CE"),"Média","-")),
         IF(OR('Dados da OS'!$D$8=Parâmetros!$B$5,'Dados da OS'!$D$8=Parâmetros!$B$6),"-"))))</f>
        <v>-</v>
      </c>
      <c r="P259" s="59" t="str">
        <f xml:space="preserve">
IF(OR(ISBLANK(B259),ISBLANK(C259),B259="N/A",ISBLANK('Dados da OS'!$D$8)),"",
   IF(OR('Dados da OS'!$D$8=Parâmetros!$B$3,'Dados da OS'!$D$8=Parâmetros!$B$4),
      IF(OR(AND(B259="INM",N259&lt;&gt;"VF"),AND(N259="VF",B259&lt;&gt;"INM")),"",
        IF(AND(B259="INM",N259="VF"),IF(ISBLANK(H259),"",M259*H259),
        IF('Dados da OS'!$D$8=Parâmetros!$B$4,
           IF(OR(B259="CE",B259="EE"),4,IF(B259="SE",5,IF(B259="ALI",7,IF(B259="AIE",5,"")))),
        IF('Dados da OS'!$D$8=Parâmetros!$B$3,
           IF(OR(ISBLANK(D259),ISBLANK(F259)),"",
              IF(B259="ALI",IF(L259="L",7,IF(L259="A",10,15)),
                 IF(B259="AIE",IF(L259="L",5,IF(L259="A",7,10)),
                    IF(B259="SE",IF(L259="L",4,IF(L259="A",5,7)),
                       IF(OR(B259="EE",B259="CE"),IF(L259="L",3,IF(L259="A",4,6)),""))))))))),
   IF('Dados da OS'!$D$8=Parâmetros!$B$5,
      IF(OR(AND(B259="INM",N259&lt;&gt;"VF"),AND(N259="VF",B259&lt;&gt;"INM")),"",
         IF(B259="INM",IF(N259="VF",M259*H259,""),
            IF(B259="PE",4.6,
            IF(B259="AL",7,"")))),
   IF('Dados da OS'!$D$8=Parâmetros!$B$6,
      IF(B259="ALI",35,IF(B259="AIE",15,"")),""))
    )
)</f>
        <v/>
      </c>
      <c r="Q259" s="60" t="str">
        <f t="shared" si="25"/>
        <v/>
      </c>
      <c r="R259" s="61"/>
      <c r="S259" s="62"/>
      <c r="T259" s="80" t="s">
        <v>21</v>
      </c>
      <c r="U259" s="81"/>
      <c r="V259" s="99"/>
      <c r="W259" s="55"/>
      <c r="X259" s="55"/>
      <c r="Y259" s="56"/>
      <c r="Z259" s="55"/>
      <c r="AA259" s="56"/>
      <c r="AB259" s="55"/>
      <c r="AC259" s="57" t="str">
        <f t="shared" si="26"/>
        <v/>
      </c>
      <c r="AD259" s="57" t="str">
        <f t="shared" si="27"/>
        <v/>
      </c>
      <c r="AE259" s="57" t="str">
        <f xml:space="preserve">
IF(OR('Dados da OS'!$D$8=Parâmetros!$B$3,'Dados da OS'!$D$8=Parâmetros!$B$4),
  IF(OR(ISBLANK(X259),ISBLANK(Z259)),
     IF(OR(V259="ALI",V259="AIE"),"L",IF(ISBLANK(V259),"","A")),
     IF(V259="EE",IF(Z259&gt;=3,IF(X259&gt;=5,"H","A"),
     IF(Z259&gt;=2,IF(X259&gt;=16,"H",IF(X259&lt;=4,"L","A")),IF(X259&lt;=15,"L","A"))),
     IF(OR(V259="SE",V259="CE"),IF(Z259&gt;=4,IF(X259&gt;=6,"H","A"),IF(Z259&gt;=2,IF(X259&gt;=20,"H",IF(X259&lt;=5,"L","A")),IF(X259&lt;=19,"L","A"))),
     IF(OR(V259="ALI",V259="AIE"),IF(Z259&gt;=6,IF(X259&gt;=20,"H","A"),IF(Z259&gt;=2,IF(X259&gt;=51,"H",IF(X259&lt;=19,"L","A")),IF(X259&lt;=50,"L","A"))))))),
IF('Dados da OS'!$D$8=Parâmetros!$B$6,"Indicativa",
IF('Dados da OS'!$D$8=Parâmetros!$B$5,"PFS","")))</f>
        <v/>
      </c>
      <c r="AF259" s="57">
        <f>IFERROR(VLOOKUP(W259,'Fatores de Impacto e INMs'!$A$3:$D$32,3,0),1)</f>
        <v>1</v>
      </c>
      <c r="AG259" s="57">
        <f>IFERROR(VLOOKUP(W259,'Fatores de Impacto e INMs'!$A$3:$E$32,5,0),1)</f>
        <v>1</v>
      </c>
      <c r="AH259" s="82" t="str">
        <f xml:space="preserve">
IF(OR('Dados da OS'!$D$8="Selecione o tipo da contagem",ISBLANK('Dados da OS'!$D$8),V259="INM",V259="N/A",ISBLANK(V259),ISBLANK(W259),AG259="VF"),"-",
   IF('Dados da OS'!$D$8=Parâmetros!$B$3,
      IF(OR(ISBLANK(X259),ISBLANK(Z259)),"-",
         IF(AE259="L","Baixa",IF(AE259="A","Média",IF(AE259="H","Alta","-")))),
      IF('Dados da OS'!$D$8=Parâmetros!$B$4,
         IF(OR(V259="ALI",V259="AIE"),"Baixa",IF(OR(V259="EE",V259="SE",V259="CE"),"Média","-")),
         IF(OR('Dados da OS'!$D$8=Parâmetros!$B$5,'Dados da OS'!$D$8=Parâmetros!$B$6),"-"))))</f>
        <v>-</v>
      </c>
      <c r="AI259" s="83" t="str">
        <f xml:space="preserve">
IF(OR(ISBLANK(V259),ISBLANK(U259),ISBLANK(W259),V259="N/A",ISBLANK('Dados da OS'!$D$8)),"",
   IF(OR('Dados da OS'!$D$8=Parâmetros!$B$3,'Dados da OS'!$D$8=Parâmetros!$B$4),
      IF(OR(AND(V259="INM",AG259&lt;&gt;"VF"),AND(AG259="VF",V259&lt;&gt;"INM")),"",
        IF(AND(V259="INM",AG259="VF"),IF(ISBLANK(AB259),"",AF259*AB259),
        IF('Dados da OS'!$D$8=Parâmetros!$B$4,
           IF(OR(V259="CE",V259="EE"),4,IF(V259="SE",5,IF(V259="ALI",7,IF(V259="AIE",5,"")))),
        IF('Dados da OS'!$D$8=Parâmetros!$B$3,
           IF(OR(ISBLANK(X259),ISBLANK(Z259)),"",
              IF(V259="ALI",IF(AE259="L",7,IF(AE259="A",10,15)),
                 IF(V259="AIE",IF(AE259="L",5,IF(AE259="A",7,10)),
                    IF(V259="SE",IF(AE259="L",4,IF(AE259="A",5,7)),
                       IF(OR(V259="EE",V259="CE"),IF(AE259="L",3,IF(AE259="A",4,6)),""))))))))),
   IF('Dados da OS'!$D$8=Parâmetros!$B$5,
      IF(OR(AND(V259="INM",AG259&lt;&gt;"VF"),AND(AG259="VF",V259&lt;&gt;"INM")),"",
         IF(V259="INM",IF(AG259="VF",AF259*AB259,""),
            IF(V259="PE",4.6,
            IF(V259="AL",7,"")))),
   IF('Dados da OS'!$D$8=Parâmetros!$B$6,
      IF(V259="ALI",35,IF(V259="AIE",15,"")),""))
    )
)</f>
        <v/>
      </c>
      <c r="AJ259" s="82" t="str">
        <f t="shared" si="28"/>
        <v/>
      </c>
      <c r="AK259" s="84"/>
      <c r="AL259" s="85" t="s">
        <v>21</v>
      </c>
      <c r="AM259" s="86"/>
      <c r="AN259" s="85"/>
      <c r="AO259" s="87"/>
      <c r="AP259" s="85"/>
      <c r="AQ259" s="86"/>
      <c r="AR259" s="85"/>
    </row>
    <row r="260" spans="1:44" ht="15.75" customHeight="1">
      <c r="A260" s="54"/>
      <c r="B260" s="100"/>
      <c r="C260" s="55"/>
      <c r="D260" s="55"/>
      <c r="E260" s="56"/>
      <c r="F260" s="55"/>
      <c r="G260" s="56"/>
      <c r="H260" s="55"/>
      <c r="I260" s="64"/>
      <c r="J260" s="57" t="str">
        <f t="shared" si="29"/>
        <v/>
      </c>
      <c r="K260" s="57" t="str">
        <f t="shared" si="30"/>
        <v/>
      </c>
      <c r="L260" s="57" t="str">
        <f xml:space="preserve">
IF(OR('Dados da OS'!$D$8=Parâmetros!$B$3,'Dados da OS'!$D$8=Parâmetros!$B$4),
  IF(OR(ISBLANK(D260),ISBLANK(F260)),
     IF(OR(B260="ALI",B260="AIE"),"L",IF(ISBLANK(B260),"","A")),
     IF(B260="EE",IF(F260&gt;=3,IF(D260&gt;=5,"H","A"),
     IF(F260&gt;=2,IF(D260&gt;=16,"H",IF(D260&lt;=4,"L","A")),IF(D260&lt;=15,"L","A"))),
     IF(OR(B260="SE",B260="CE"),IF(F260&gt;=4,IF(D260&gt;=6,"H","A"),IF(F260&gt;=2,IF(D260&gt;=20,"H",IF(D260&lt;=5,"L","A")),IF(D260&lt;=19,"L","A"))),
     IF(OR(B260="ALI",B260="AIE"),IF(F260&gt;=6,IF(D260&gt;=20,"H","A"),IF(F260&gt;=2,IF(D260&gt;=51,"H",IF(D260&lt;=19,"L","A")),IF(D260&lt;=50,"L","A"))))))),
IF('Dados da OS'!$D$8=Parâmetros!$B$6,"Indicativa",
IF('Dados da OS'!$D$8=Parâmetros!$B$5,"PFS","")))</f>
        <v/>
      </c>
      <c r="M260" s="57">
        <f>IFERROR(VLOOKUP(C260,'Fatores de Impacto e INMs'!$A$3:$D$32,3,0),1)</f>
        <v>1</v>
      </c>
      <c r="N260" s="57">
        <f>IFERROR(VLOOKUP(C260,'Fatores de Impacto e INMs'!$A$3:$E$32,5,0),1)</f>
        <v>1</v>
      </c>
      <c r="O260" s="63" t="str">
        <f xml:space="preserve">
IF(OR('Dados da OS'!$D$8="Selecione o tipo da contagem",ISBLANK('Dados da OS'!$D$8),B260="INM",B260="N/A",ISBLANK(B260),ISBLANK(C260),N260="VF"),"-",
   IF('Dados da OS'!$D$8=Parâmetros!$B$3,
      IF(OR(ISBLANK(D260),ISBLANK(F260)),"-",
         IF(L260="L","Baixa",IF(L260="A","Média",IF(L260="H","Alta","-")))),
      IF('Dados da OS'!$D$8=Parâmetros!$B$4,
         IF(OR(B260="ALI",B260="AIE"),"Baixa",IF(OR(B260="EE",B260="SE",B260="CE"),"Média","-")),
         IF(OR('Dados da OS'!$D$8=Parâmetros!$B$5,'Dados da OS'!$D$8=Parâmetros!$B$6),"-"))))</f>
        <v>-</v>
      </c>
      <c r="P260" s="59" t="str">
        <f xml:space="preserve">
IF(OR(ISBLANK(B260),ISBLANK(C260),B260="N/A",ISBLANK('Dados da OS'!$D$8)),"",
   IF(OR('Dados da OS'!$D$8=Parâmetros!$B$3,'Dados da OS'!$D$8=Parâmetros!$B$4),
      IF(OR(AND(B260="INM",N260&lt;&gt;"VF"),AND(N260="VF",B260&lt;&gt;"INM")),"",
        IF(AND(B260="INM",N260="VF"),IF(ISBLANK(H260),"",M260*H260),
        IF('Dados da OS'!$D$8=Parâmetros!$B$4,
           IF(OR(B260="CE",B260="EE"),4,IF(B260="SE",5,IF(B260="ALI",7,IF(B260="AIE",5,"")))),
        IF('Dados da OS'!$D$8=Parâmetros!$B$3,
           IF(OR(ISBLANK(D260),ISBLANK(F260)),"",
              IF(B260="ALI",IF(L260="L",7,IF(L260="A",10,15)),
                 IF(B260="AIE",IF(L260="L",5,IF(L260="A",7,10)),
                    IF(B260="SE",IF(L260="L",4,IF(L260="A",5,7)),
                       IF(OR(B260="EE",B260="CE"),IF(L260="L",3,IF(L260="A",4,6)),""))))))))),
   IF('Dados da OS'!$D$8=Parâmetros!$B$5,
      IF(OR(AND(B260="INM",N260&lt;&gt;"VF"),AND(N260="VF",B260&lt;&gt;"INM")),"",
         IF(B260="INM",IF(N260="VF",M260*H260,""),
            IF(B260="PE",4.6,
            IF(B260="AL",7,"")))),
   IF('Dados da OS'!$D$8=Parâmetros!$B$6,
      IF(B260="ALI",35,IF(B260="AIE",15,"")),""))
    )
)</f>
        <v/>
      </c>
      <c r="Q260" s="60" t="str">
        <f t="shared" si="25"/>
        <v/>
      </c>
      <c r="R260" s="61"/>
      <c r="S260" s="62"/>
      <c r="T260" s="80" t="s">
        <v>21</v>
      </c>
      <c r="U260" s="81"/>
      <c r="V260" s="99"/>
      <c r="W260" s="55"/>
      <c r="X260" s="55"/>
      <c r="Y260" s="56"/>
      <c r="Z260" s="55"/>
      <c r="AA260" s="56"/>
      <c r="AB260" s="55"/>
      <c r="AC260" s="57" t="str">
        <f t="shared" si="26"/>
        <v/>
      </c>
      <c r="AD260" s="57" t="str">
        <f t="shared" si="27"/>
        <v/>
      </c>
      <c r="AE260" s="57" t="str">
        <f xml:space="preserve">
IF(OR('Dados da OS'!$D$8=Parâmetros!$B$3,'Dados da OS'!$D$8=Parâmetros!$B$4),
  IF(OR(ISBLANK(X260),ISBLANK(Z260)),
     IF(OR(V260="ALI",V260="AIE"),"L",IF(ISBLANK(V260),"","A")),
     IF(V260="EE",IF(Z260&gt;=3,IF(X260&gt;=5,"H","A"),
     IF(Z260&gt;=2,IF(X260&gt;=16,"H",IF(X260&lt;=4,"L","A")),IF(X260&lt;=15,"L","A"))),
     IF(OR(V260="SE",V260="CE"),IF(Z260&gt;=4,IF(X260&gt;=6,"H","A"),IF(Z260&gt;=2,IF(X260&gt;=20,"H",IF(X260&lt;=5,"L","A")),IF(X260&lt;=19,"L","A"))),
     IF(OR(V260="ALI",V260="AIE"),IF(Z260&gt;=6,IF(X260&gt;=20,"H","A"),IF(Z260&gt;=2,IF(X260&gt;=51,"H",IF(X260&lt;=19,"L","A")),IF(X260&lt;=50,"L","A"))))))),
IF('Dados da OS'!$D$8=Parâmetros!$B$6,"Indicativa",
IF('Dados da OS'!$D$8=Parâmetros!$B$5,"PFS","")))</f>
        <v/>
      </c>
      <c r="AF260" s="57">
        <f>IFERROR(VLOOKUP(W260,'Fatores de Impacto e INMs'!$A$3:$D$32,3,0),1)</f>
        <v>1</v>
      </c>
      <c r="AG260" s="57">
        <f>IFERROR(VLOOKUP(W260,'Fatores de Impacto e INMs'!$A$3:$E$32,5,0),1)</f>
        <v>1</v>
      </c>
      <c r="AH260" s="82" t="str">
        <f xml:space="preserve">
IF(OR('Dados da OS'!$D$8="Selecione o tipo da contagem",ISBLANK('Dados da OS'!$D$8),V260="INM",V260="N/A",ISBLANK(V260),ISBLANK(W260),AG260="VF"),"-",
   IF('Dados da OS'!$D$8=Parâmetros!$B$3,
      IF(OR(ISBLANK(X260),ISBLANK(Z260)),"-",
         IF(AE260="L","Baixa",IF(AE260="A","Média",IF(AE260="H","Alta","-")))),
      IF('Dados da OS'!$D$8=Parâmetros!$B$4,
         IF(OR(V260="ALI",V260="AIE"),"Baixa",IF(OR(V260="EE",V260="SE",V260="CE"),"Média","-")),
         IF(OR('Dados da OS'!$D$8=Parâmetros!$B$5,'Dados da OS'!$D$8=Parâmetros!$B$6),"-"))))</f>
        <v>-</v>
      </c>
      <c r="AI260" s="83" t="str">
        <f xml:space="preserve">
IF(OR(ISBLANK(V260),ISBLANK(U260),ISBLANK(W260),V260="N/A",ISBLANK('Dados da OS'!$D$8)),"",
   IF(OR('Dados da OS'!$D$8=Parâmetros!$B$3,'Dados da OS'!$D$8=Parâmetros!$B$4),
      IF(OR(AND(V260="INM",AG260&lt;&gt;"VF"),AND(AG260="VF",V260&lt;&gt;"INM")),"",
        IF(AND(V260="INM",AG260="VF"),IF(ISBLANK(AB260),"",AF260*AB260),
        IF('Dados da OS'!$D$8=Parâmetros!$B$4,
           IF(OR(V260="CE",V260="EE"),4,IF(V260="SE",5,IF(V260="ALI",7,IF(V260="AIE",5,"")))),
        IF('Dados da OS'!$D$8=Parâmetros!$B$3,
           IF(OR(ISBLANK(X260),ISBLANK(Z260)),"",
              IF(V260="ALI",IF(AE260="L",7,IF(AE260="A",10,15)),
                 IF(V260="AIE",IF(AE260="L",5,IF(AE260="A",7,10)),
                    IF(V260="SE",IF(AE260="L",4,IF(AE260="A",5,7)),
                       IF(OR(V260="EE",V260="CE"),IF(AE260="L",3,IF(AE260="A",4,6)),""))))))))),
   IF('Dados da OS'!$D$8=Parâmetros!$B$5,
      IF(OR(AND(V260="INM",AG260&lt;&gt;"VF"),AND(AG260="VF",V260&lt;&gt;"INM")),"",
         IF(V260="INM",IF(AG260="VF",AF260*AB260,""),
            IF(V260="PE",4.6,
            IF(V260="AL",7,"")))),
   IF('Dados da OS'!$D$8=Parâmetros!$B$6,
      IF(V260="ALI",35,IF(V260="AIE",15,"")),""))
    )
)</f>
        <v/>
      </c>
      <c r="AJ260" s="82" t="str">
        <f t="shared" si="28"/>
        <v/>
      </c>
      <c r="AK260" s="84"/>
      <c r="AL260" s="85" t="s">
        <v>21</v>
      </c>
      <c r="AM260" s="86"/>
      <c r="AN260" s="85"/>
      <c r="AO260" s="87"/>
      <c r="AP260" s="85"/>
      <c r="AQ260" s="86"/>
      <c r="AR260" s="85"/>
    </row>
    <row r="261" spans="1:44" ht="15.75" customHeight="1">
      <c r="A261" s="54"/>
      <c r="B261" s="100"/>
      <c r="C261" s="55"/>
      <c r="D261" s="55"/>
      <c r="E261" s="56"/>
      <c r="F261" s="55"/>
      <c r="G261" s="56"/>
      <c r="H261" s="55"/>
      <c r="I261" s="64"/>
      <c r="J261" s="57" t="str">
        <f t="shared" si="29"/>
        <v/>
      </c>
      <c r="K261" s="57" t="str">
        <f t="shared" si="30"/>
        <v/>
      </c>
      <c r="L261" s="57" t="str">
        <f xml:space="preserve">
IF(OR('Dados da OS'!$D$8=Parâmetros!$B$3,'Dados da OS'!$D$8=Parâmetros!$B$4),
  IF(OR(ISBLANK(D261),ISBLANK(F261)),
     IF(OR(B261="ALI",B261="AIE"),"L",IF(ISBLANK(B261),"","A")),
     IF(B261="EE",IF(F261&gt;=3,IF(D261&gt;=5,"H","A"),
     IF(F261&gt;=2,IF(D261&gt;=16,"H",IF(D261&lt;=4,"L","A")),IF(D261&lt;=15,"L","A"))),
     IF(OR(B261="SE",B261="CE"),IF(F261&gt;=4,IF(D261&gt;=6,"H","A"),IF(F261&gt;=2,IF(D261&gt;=20,"H",IF(D261&lt;=5,"L","A")),IF(D261&lt;=19,"L","A"))),
     IF(OR(B261="ALI",B261="AIE"),IF(F261&gt;=6,IF(D261&gt;=20,"H","A"),IF(F261&gt;=2,IF(D261&gt;=51,"H",IF(D261&lt;=19,"L","A")),IF(D261&lt;=50,"L","A"))))))),
IF('Dados da OS'!$D$8=Parâmetros!$B$6,"Indicativa",
IF('Dados da OS'!$D$8=Parâmetros!$B$5,"PFS","")))</f>
        <v/>
      </c>
      <c r="M261" s="57">
        <f>IFERROR(VLOOKUP(C261,'Fatores de Impacto e INMs'!$A$3:$D$32,3,0),1)</f>
        <v>1</v>
      </c>
      <c r="N261" s="57">
        <f>IFERROR(VLOOKUP(C261,'Fatores de Impacto e INMs'!$A$3:$E$32,5,0),1)</f>
        <v>1</v>
      </c>
      <c r="O261" s="63" t="str">
        <f xml:space="preserve">
IF(OR('Dados da OS'!$D$8="Selecione o tipo da contagem",ISBLANK('Dados da OS'!$D$8),B261="INM",B261="N/A",ISBLANK(B261),ISBLANK(C261),N261="VF"),"-",
   IF('Dados da OS'!$D$8=Parâmetros!$B$3,
      IF(OR(ISBLANK(D261),ISBLANK(F261)),"-",
         IF(L261="L","Baixa",IF(L261="A","Média",IF(L261="H","Alta","-")))),
      IF('Dados da OS'!$D$8=Parâmetros!$B$4,
         IF(OR(B261="ALI",B261="AIE"),"Baixa",IF(OR(B261="EE",B261="SE",B261="CE"),"Média","-")),
         IF(OR('Dados da OS'!$D$8=Parâmetros!$B$5,'Dados da OS'!$D$8=Parâmetros!$B$6),"-"))))</f>
        <v>-</v>
      </c>
      <c r="P261" s="59" t="str">
        <f xml:space="preserve">
IF(OR(ISBLANK(B261),ISBLANK(C261),B261="N/A",ISBLANK('Dados da OS'!$D$8)),"",
   IF(OR('Dados da OS'!$D$8=Parâmetros!$B$3,'Dados da OS'!$D$8=Parâmetros!$B$4),
      IF(OR(AND(B261="INM",N261&lt;&gt;"VF"),AND(N261="VF",B261&lt;&gt;"INM")),"",
        IF(AND(B261="INM",N261="VF"),IF(ISBLANK(H261),"",M261*H261),
        IF('Dados da OS'!$D$8=Parâmetros!$B$4,
           IF(OR(B261="CE",B261="EE"),4,IF(B261="SE",5,IF(B261="ALI",7,IF(B261="AIE",5,"")))),
        IF('Dados da OS'!$D$8=Parâmetros!$B$3,
           IF(OR(ISBLANK(D261),ISBLANK(F261)),"",
              IF(B261="ALI",IF(L261="L",7,IF(L261="A",10,15)),
                 IF(B261="AIE",IF(L261="L",5,IF(L261="A",7,10)),
                    IF(B261="SE",IF(L261="L",4,IF(L261="A",5,7)),
                       IF(OR(B261="EE",B261="CE"),IF(L261="L",3,IF(L261="A",4,6)),""))))))))),
   IF('Dados da OS'!$D$8=Parâmetros!$B$5,
      IF(OR(AND(B261="INM",N261&lt;&gt;"VF"),AND(N261="VF",B261&lt;&gt;"INM")),"",
         IF(B261="INM",IF(N261="VF",M261*H261,""),
            IF(B261="PE",4.6,
            IF(B261="AL",7,"")))),
   IF('Dados da OS'!$D$8=Parâmetros!$B$6,
      IF(B261="ALI",35,IF(B261="AIE",15,"")),""))
    )
)</f>
        <v/>
      </c>
      <c r="Q261" s="60" t="str">
        <f t="shared" ref="Q261:Q324" si="31">IF(P261="","",IF(B261="INM",P261,P261*M261))</f>
        <v/>
      </c>
      <c r="R261" s="61"/>
      <c r="S261" s="62"/>
      <c r="T261" s="80" t="s">
        <v>21</v>
      </c>
      <c r="U261" s="81"/>
      <c r="V261" s="99"/>
      <c r="W261" s="55"/>
      <c r="X261" s="55"/>
      <c r="Y261" s="56"/>
      <c r="Z261" s="55"/>
      <c r="AA261" s="56"/>
      <c r="AB261" s="55"/>
      <c r="AC261" s="57" t="str">
        <f t="shared" ref="AC261:AC324" si="32">CONCATENATE(V261,AE261)</f>
        <v/>
      </c>
      <c r="AD261" s="57" t="str">
        <f t="shared" ref="AD261:AD324" si="33">CONCATENATE(V261,W261,AE261,AJ261)</f>
        <v/>
      </c>
      <c r="AE261" s="57" t="str">
        <f xml:space="preserve">
IF(OR('Dados da OS'!$D$8=Parâmetros!$B$3,'Dados da OS'!$D$8=Parâmetros!$B$4),
  IF(OR(ISBLANK(X261),ISBLANK(Z261)),
     IF(OR(V261="ALI",V261="AIE"),"L",IF(ISBLANK(V261),"","A")),
     IF(V261="EE",IF(Z261&gt;=3,IF(X261&gt;=5,"H","A"),
     IF(Z261&gt;=2,IF(X261&gt;=16,"H",IF(X261&lt;=4,"L","A")),IF(X261&lt;=15,"L","A"))),
     IF(OR(V261="SE",V261="CE"),IF(Z261&gt;=4,IF(X261&gt;=6,"H","A"),IF(Z261&gt;=2,IF(X261&gt;=20,"H",IF(X261&lt;=5,"L","A")),IF(X261&lt;=19,"L","A"))),
     IF(OR(V261="ALI",V261="AIE"),IF(Z261&gt;=6,IF(X261&gt;=20,"H","A"),IF(Z261&gt;=2,IF(X261&gt;=51,"H",IF(X261&lt;=19,"L","A")),IF(X261&lt;=50,"L","A"))))))),
IF('Dados da OS'!$D$8=Parâmetros!$B$6,"Indicativa",
IF('Dados da OS'!$D$8=Parâmetros!$B$5,"PFS","")))</f>
        <v/>
      </c>
      <c r="AF261" s="57">
        <f>IFERROR(VLOOKUP(W261,'Fatores de Impacto e INMs'!$A$3:$D$32,3,0),1)</f>
        <v>1</v>
      </c>
      <c r="AG261" s="57">
        <f>IFERROR(VLOOKUP(W261,'Fatores de Impacto e INMs'!$A$3:$E$32,5,0),1)</f>
        <v>1</v>
      </c>
      <c r="AH261" s="82" t="str">
        <f xml:space="preserve">
IF(OR('Dados da OS'!$D$8="Selecione o tipo da contagem",ISBLANK('Dados da OS'!$D$8),V261="INM",V261="N/A",ISBLANK(V261),ISBLANK(W261),AG261="VF"),"-",
   IF('Dados da OS'!$D$8=Parâmetros!$B$3,
      IF(OR(ISBLANK(X261),ISBLANK(Z261)),"-",
         IF(AE261="L","Baixa",IF(AE261="A","Média",IF(AE261="H","Alta","-")))),
      IF('Dados da OS'!$D$8=Parâmetros!$B$4,
         IF(OR(V261="ALI",V261="AIE"),"Baixa",IF(OR(V261="EE",V261="SE",V261="CE"),"Média","-")),
         IF(OR('Dados da OS'!$D$8=Parâmetros!$B$5,'Dados da OS'!$D$8=Parâmetros!$B$6),"-"))))</f>
        <v>-</v>
      </c>
      <c r="AI261" s="83" t="str">
        <f xml:space="preserve">
IF(OR(ISBLANK(V261),ISBLANK(U261),ISBLANK(W261),V261="N/A",ISBLANK('Dados da OS'!$D$8)),"",
   IF(OR('Dados da OS'!$D$8=Parâmetros!$B$3,'Dados da OS'!$D$8=Parâmetros!$B$4),
      IF(OR(AND(V261="INM",AG261&lt;&gt;"VF"),AND(AG261="VF",V261&lt;&gt;"INM")),"",
        IF(AND(V261="INM",AG261="VF"),IF(ISBLANK(AB261),"",AF261*AB261),
        IF('Dados da OS'!$D$8=Parâmetros!$B$4,
           IF(OR(V261="CE",V261="EE"),4,IF(V261="SE",5,IF(V261="ALI",7,IF(V261="AIE",5,"")))),
        IF('Dados da OS'!$D$8=Parâmetros!$B$3,
           IF(OR(ISBLANK(X261),ISBLANK(Z261)),"",
              IF(V261="ALI",IF(AE261="L",7,IF(AE261="A",10,15)),
                 IF(V261="AIE",IF(AE261="L",5,IF(AE261="A",7,10)),
                    IF(V261="SE",IF(AE261="L",4,IF(AE261="A",5,7)),
                       IF(OR(V261="EE",V261="CE"),IF(AE261="L",3,IF(AE261="A",4,6)),""))))))))),
   IF('Dados da OS'!$D$8=Parâmetros!$B$5,
      IF(OR(AND(V261="INM",AG261&lt;&gt;"VF"),AND(AG261="VF",V261&lt;&gt;"INM")),"",
         IF(V261="INM",IF(AG261="VF",AF261*AB261,""),
            IF(V261="PE",4.6,
            IF(V261="AL",7,"")))),
   IF('Dados da OS'!$D$8=Parâmetros!$B$6,
      IF(V261="ALI",35,IF(V261="AIE",15,"")),""))
    )
)</f>
        <v/>
      </c>
      <c r="AJ261" s="82" t="str">
        <f t="shared" ref="AJ261:AJ324" si="34">IF(AI261="","",IF(V261="INM",AI261,AI261*AF261))</f>
        <v/>
      </c>
      <c r="AK261" s="84"/>
      <c r="AL261" s="85" t="s">
        <v>21</v>
      </c>
      <c r="AM261" s="86"/>
      <c r="AN261" s="85"/>
      <c r="AO261" s="87"/>
      <c r="AP261" s="85"/>
      <c r="AQ261" s="86"/>
      <c r="AR261" s="85"/>
    </row>
    <row r="262" spans="1:44" ht="15.75" customHeight="1">
      <c r="A262" s="54"/>
      <c r="B262" s="100"/>
      <c r="C262" s="55"/>
      <c r="D262" s="55"/>
      <c r="E262" s="56"/>
      <c r="F262" s="55"/>
      <c r="G262" s="56"/>
      <c r="H262" s="55"/>
      <c r="I262" s="64"/>
      <c r="J262" s="57" t="str">
        <f t="shared" si="29"/>
        <v/>
      </c>
      <c r="K262" s="57" t="str">
        <f t="shared" si="30"/>
        <v/>
      </c>
      <c r="L262" s="57" t="str">
        <f xml:space="preserve">
IF(OR('Dados da OS'!$D$8=Parâmetros!$B$3,'Dados da OS'!$D$8=Parâmetros!$B$4),
  IF(OR(ISBLANK(D262),ISBLANK(F262)),
     IF(OR(B262="ALI",B262="AIE"),"L",IF(ISBLANK(B262),"","A")),
     IF(B262="EE",IF(F262&gt;=3,IF(D262&gt;=5,"H","A"),
     IF(F262&gt;=2,IF(D262&gt;=16,"H",IF(D262&lt;=4,"L","A")),IF(D262&lt;=15,"L","A"))),
     IF(OR(B262="SE",B262="CE"),IF(F262&gt;=4,IF(D262&gt;=6,"H","A"),IF(F262&gt;=2,IF(D262&gt;=20,"H",IF(D262&lt;=5,"L","A")),IF(D262&lt;=19,"L","A"))),
     IF(OR(B262="ALI",B262="AIE"),IF(F262&gt;=6,IF(D262&gt;=20,"H","A"),IF(F262&gt;=2,IF(D262&gt;=51,"H",IF(D262&lt;=19,"L","A")),IF(D262&lt;=50,"L","A"))))))),
IF('Dados da OS'!$D$8=Parâmetros!$B$6,"Indicativa",
IF('Dados da OS'!$D$8=Parâmetros!$B$5,"PFS","")))</f>
        <v/>
      </c>
      <c r="M262" s="57">
        <f>IFERROR(VLOOKUP(C262,'Fatores de Impacto e INMs'!$A$3:$D$32,3,0),1)</f>
        <v>1</v>
      </c>
      <c r="N262" s="57">
        <f>IFERROR(VLOOKUP(C262,'Fatores de Impacto e INMs'!$A$3:$E$32,5,0),1)</f>
        <v>1</v>
      </c>
      <c r="O262" s="63" t="str">
        <f xml:space="preserve">
IF(OR('Dados da OS'!$D$8="Selecione o tipo da contagem",ISBLANK('Dados da OS'!$D$8),B262="INM",B262="N/A",ISBLANK(B262),ISBLANK(C262),N262="VF"),"-",
   IF('Dados da OS'!$D$8=Parâmetros!$B$3,
      IF(OR(ISBLANK(D262),ISBLANK(F262)),"-",
         IF(L262="L","Baixa",IF(L262="A","Média",IF(L262="H","Alta","-")))),
      IF('Dados da OS'!$D$8=Parâmetros!$B$4,
         IF(OR(B262="ALI",B262="AIE"),"Baixa",IF(OR(B262="EE",B262="SE",B262="CE"),"Média","-")),
         IF(OR('Dados da OS'!$D$8=Parâmetros!$B$5,'Dados da OS'!$D$8=Parâmetros!$B$6),"-"))))</f>
        <v>-</v>
      </c>
      <c r="P262" s="59" t="str">
        <f xml:space="preserve">
IF(OR(ISBLANK(B262),ISBLANK(C262),B262="N/A",ISBLANK('Dados da OS'!$D$8)),"",
   IF(OR('Dados da OS'!$D$8=Parâmetros!$B$3,'Dados da OS'!$D$8=Parâmetros!$B$4),
      IF(OR(AND(B262="INM",N262&lt;&gt;"VF"),AND(N262="VF",B262&lt;&gt;"INM")),"",
        IF(AND(B262="INM",N262="VF"),IF(ISBLANK(H262),"",M262*H262),
        IF('Dados da OS'!$D$8=Parâmetros!$B$4,
           IF(OR(B262="CE",B262="EE"),4,IF(B262="SE",5,IF(B262="ALI",7,IF(B262="AIE",5,"")))),
        IF('Dados da OS'!$D$8=Parâmetros!$B$3,
           IF(OR(ISBLANK(D262),ISBLANK(F262)),"",
              IF(B262="ALI",IF(L262="L",7,IF(L262="A",10,15)),
                 IF(B262="AIE",IF(L262="L",5,IF(L262="A",7,10)),
                    IF(B262="SE",IF(L262="L",4,IF(L262="A",5,7)),
                       IF(OR(B262="EE",B262="CE"),IF(L262="L",3,IF(L262="A",4,6)),""))))))))),
   IF('Dados da OS'!$D$8=Parâmetros!$B$5,
      IF(OR(AND(B262="INM",N262&lt;&gt;"VF"),AND(N262="VF",B262&lt;&gt;"INM")),"",
         IF(B262="INM",IF(N262="VF",M262*H262,""),
            IF(B262="PE",4.6,
            IF(B262="AL",7,"")))),
   IF('Dados da OS'!$D$8=Parâmetros!$B$6,
      IF(B262="ALI",35,IF(B262="AIE",15,"")),""))
    )
)</f>
        <v/>
      </c>
      <c r="Q262" s="60" t="str">
        <f t="shared" si="31"/>
        <v/>
      </c>
      <c r="R262" s="61"/>
      <c r="S262" s="62"/>
      <c r="T262" s="80" t="s">
        <v>21</v>
      </c>
      <c r="U262" s="81"/>
      <c r="V262" s="99"/>
      <c r="W262" s="55"/>
      <c r="X262" s="55"/>
      <c r="Y262" s="56"/>
      <c r="Z262" s="55"/>
      <c r="AA262" s="56"/>
      <c r="AB262" s="55"/>
      <c r="AC262" s="57" t="str">
        <f t="shared" si="32"/>
        <v/>
      </c>
      <c r="AD262" s="57" t="str">
        <f t="shared" si="33"/>
        <v/>
      </c>
      <c r="AE262" s="57" t="str">
        <f xml:space="preserve">
IF(OR('Dados da OS'!$D$8=Parâmetros!$B$3,'Dados da OS'!$D$8=Parâmetros!$B$4),
  IF(OR(ISBLANK(X262),ISBLANK(Z262)),
     IF(OR(V262="ALI",V262="AIE"),"L",IF(ISBLANK(V262),"","A")),
     IF(V262="EE",IF(Z262&gt;=3,IF(X262&gt;=5,"H","A"),
     IF(Z262&gt;=2,IF(X262&gt;=16,"H",IF(X262&lt;=4,"L","A")),IF(X262&lt;=15,"L","A"))),
     IF(OR(V262="SE",V262="CE"),IF(Z262&gt;=4,IF(X262&gt;=6,"H","A"),IF(Z262&gt;=2,IF(X262&gt;=20,"H",IF(X262&lt;=5,"L","A")),IF(X262&lt;=19,"L","A"))),
     IF(OR(V262="ALI",V262="AIE"),IF(Z262&gt;=6,IF(X262&gt;=20,"H","A"),IF(Z262&gt;=2,IF(X262&gt;=51,"H",IF(X262&lt;=19,"L","A")),IF(X262&lt;=50,"L","A"))))))),
IF('Dados da OS'!$D$8=Parâmetros!$B$6,"Indicativa",
IF('Dados da OS'!$D$8=Parâmetros!$B$5,"PFS","")))</f>
        <v/>
      </c>
      <c r="AF262" s="57">
        <f>IFERROR(VLOOKUP(W262,'Fatores de Impacto e INMs'!$A$3:$D$32,3,0),1)</f>
        <v>1</v>
      </c>
      <c r="AG262" s="57">
        <f>IFERROR(VLOOKUP(W262,'Fatores de Impacto e INMs'!$A$3:$E$32,5,0),1)</f>
        <v>1</v>
      </c>
      <c r="AH262" s="82" t="str">
        <f xml:space="preserve">
IF(OR('Dados da OS'!$D$8="Selecione o tipo da contagem",ISBLANK('Dados da OS'!$D$8),V262="INM",V262="N/A",ISBLANK(V262),ISBLANK(W262),AG262="VF"),"-",
   IF('Dados da OS'!$D$8=Parâmetros!$B$3,
      IF(OR(ISBLANK(X262),ISBLANK(Z262)),"-",
         IF(AE262="L","Baixa",IF(AE262="A","Média",IF(AE262="H","Alta","-")))),
      IF('Dados da OS'!$D$8=Parâmetros!$B$4,
         IF(OR(V262="ALI",V262="AIE"),"Baixa",IF(OR(V262="EE",V262="SE",V262="CE"),"Média","-")),
         IF(OR('Dados da OS'!$D$8=Parâmetros!$B$5,'Dados da OS'!$D$8=Parâmetros!$B$6),"-"))))</f>
        <v>-</v>
      </c>
      <c r="AI262" s="83" t="str">
        <f xml:space="preserve">
IF(OR(ISBLANK(V262),ISBLANK(U262),ISBLANK(W262),V262="N/A",ISBLANK('Dados da OS'!$D$8)),"",
   IF(OR('Dados da OS'!$D$8=Parâmetros!$B$3,'Dados da OS'!$D$8=Parâmetros!$B$4),
      IF(OR(AND(V262="INM",AG262&lt;&gt;"VF"),AND(AG262="VF",V262&lt;&gt;"INM")),"",
        IF(AND(V262="INM",AG262="VF"),IF(ISBLANK(AB262),"",AF262*AB262),
        IF('Dados da OS'!$D$8=Parâmetros!$B$4,
           IF(OR(V262="CE",V262="EE"),4,IF(V262="SE",5,IF(V262="ALI",7,IF(V262="AIE",5,"")))),
        IF('Dados da OS'!$D$8=Parâmetros!$B$3,
           IF(OR(ISBLANK(X262),ISBLANK(Z262)),"",
              IF(V262="ALI",IF(AE262="L",7,IF(AE262="A",10,15)),
                 IF(V262="AIE",IF(AE262="L",5,IF(AE262="A",7,10)),
                    IF(V262="SE",IF(AE262="L",4,IF(AE262="A",5,7)),
                       IF(OR(V262="EE",V262="CE"),IF(AE262="L",3,IF(AE262="A",4,6)),""))))))))),
   IF('Dados da OS'!$D$8=Parâmetros!$B$5,
      IF(OR(AND(V262="INM",AG262&lt;&gt;"VF"),AND(AG262="VF",V262&lt;&gt;"INM")),"",
         IF(V262="INM",IF(AG262="VF",AF262*AB262,""),
            IF(V262="PE",4.6,
            IF(V262="AL",7,"")))),
   IF('Dados da OS'!$D$8=Parâmetros!$B$6,
      IF(V262="ALI",35,IF(V262="AIE",15,"")),""))
    )
)</f>
        <v/>
      </c>
      <c r="AJ262" s="82" t="str">
        <f t="shared" si="34"/>
        <v/>
      </c>
      <c r="AK262" s="84"/>
      <c r="AL262" s="85" t="s">
        <v>21</v>
      </c>
      <c r="AM262" s="86"/>
      <c r="AN262" s="85"/>
      <c r="AO262" s="87"/>
      <c r="AP262" s="85"/>
      <c r="AQ262" s="86"/>
      <c r="AR262" s="85"/>
    </row>
    <row r="263" spans="1:44" ht="15.75" customHeight="1">
      <c r="A263" s="54"/>
      <c r="B263" s="100"/>
      <c r="C263" s="55"/>
      <c r="D263" s="55"/>
      <c r="E263" s="56"/>
      <c r="F263" s="55"/>
      <c r="G263" s="56"/>
      <c r="H263" s="55"/>
      <c r="I263" s="64"/>
      <c r="J263" s="57" t="str">
        <f t="shared" si="29"/>
        <v/>
      </c>
      <c r="K263" s="57" t="str">
        <f t="shared" si="30"/>
        <v/>
      </c>
      <c r="L263" s="57" t="str">
        <f xml:space="preserve">
IF(OR('Dados da OS'!$D$8=Parâmetros!$B$3,'Dados da OS'!$D$8=Parâmetros!$B$4),
  IF(OR(ISBLANK(D263),ISBLANK(F263)),
     IF(OR(B263="ALI",B263="AIE"),"L",IF(ISBLANK(B263),"","A")),
     IF(B263="EE",IF(F263&gt;=3,IF(D263&gt;=5,"H","A"),
     IF(F263&gt;=2,IF(D263&gt;=16,"H",IF(D263&lt;=4,"L","A")),IF(D263&lt;=15,"L","A"))),
     IF(OR(B263="SE",B263="CE"),IF(F263&gt;=4,IF(D263&gt;=6,"H","A"),IF(F263&gt;=2,IF(D263&gt;=20,"H",IF(D263&lt;=5,"L","A")),IF(D263&lt;=19,"L","A"))),
     IF(OR(B263="ALI",B263="AIE"),IF(F263&gt;=6,IF(D263&gt;=20,"H","A"),IF(F263&gt;=2,IF(D263&gt;=51,"H",IF(D263&lt;=19,"L","A")),IF(D263&lt;=50,"L","A"))))))),
IF('Dados da OS'!$D$8=Parâmetros!$B$6,"Indicativa",
IF('Dados da OS'!$D$8=Parâmetros!$B$5,"PFS","")))</f>
        <v/>
      </c>
      <c r="M263" s="57">
        <f>IFERROR(VLOOKUP(C263,'Fatores de Impacto e INMs'!$A$3:$D$32,3,0),1)</f>
        <v>1</v>
      </c>
      <c r="N263" s="57">
        <f>IFERROR(VLOOKUP(C263,'Fatores de Impacto e INMs'!$A$3:$E$32,5,0),1)</f>
        <v>1</v>
      </c>
      <c r="O263" s="63" t="str">
        <f xml:space="preserve">
IF(OR('Dados da OS'!$D$8="Selecione o tipo da contagem",ISBLANK('Dados da OS'!$D$8),B263="INM",B263="N/A",ISBLANK(B263),ISBLANK(C263),N263="VF"),"-",
   IF('Dados da OS'!$D$8=Parâmetros!$B$3,
      IF(OR(ISBLANK(D263),ISBLANK(F263)),"-",
         IF(L263="L","Baixa",IF(L263="A","Média",IF(L263="H","Alta","-")))),
      IF('Dados da OS'!$D$8=Parâmetros!$B$4,
         IF(OR(B263="ALI",B263="AIE"),"Baixa",IF(OR(B263="EE",B263="SE",B263="CE"),"Média","-")),
         IF(OR('Dados da OS'!$D$8=Parâmetros!$B$5,'Dados da OS'!$D$8=Parâmetros!$B$6),"-"))))</f>
        <v>-</v>
      </c>
      <c r="P263" s="59" t="str">
        <f xml:space="preserve">
IF(OR(ISBLANK(B263),ISBLANK(C263),B263="N/A",ISBLANK('Dados da OS'!$D$8)),"",
   IF(OR('Dados da OS'!$D$8=Parâmetros!$B$3,'Dados da OS'!$D$8=Parâmetros!$B$4),
      IF(OR(AND(B263="INM",N263&lt;&gt;"VF"),AND(N263="VF",B263&lt;&gt;"INM")),"",
        IF(AND(B263="INM",N263="VF"),IF(ISBLANK(H263),"",M263*H263),
        IF('Dados da OS'!$D$8=Parâmetros!$B$4,
           IF(OR(B263="CE",B263="EE"),4,IF(B263="SE",5,IF(B263="ALI",7,IF(B263="AIE",5,"")))),
        IF('Dados da OS'!$D$8=Parâmetros!$B$3,
           IF(OR(ISBLANK(D263),ISBLANK(F263)),"",
              IF(B263="ALI",IF(L263="L",7,IF(L263="A",10,15)),
                 IF(B263="AIE",IF(L263="L",5,IF(L263="A",7,10)),
                    IF(B263="SE",IF(L263="L",4,IF(L263="A",5,7)),
                       IF(OR(B263="EE",B263="CE"),IF(L263="L",3,IF(L263="A",4,6)),""))))))))),
   IF('Dados da OS'!$D$8=Parâmetros!$B$5,
      IF(OR(AND(B263="INM",N263&lt;&gt;"VF"),AND(N263="VF",B263&lt;&gt;"INM")),"",
         IF(B263="INM",IF(N263="VF",M263*H263,""),
            IF(B263="PE",4.6,
            IF(B263="AL",7,"")))),
   IF('Dados da OS'!$D$8=Parâmetros!$B$6,
      IF(B263="ALI",35,IF(B263="AIE",15,"")),""))
    )
)</f>
        <v/>
      </c>
      <c r="Q263" s="60" t="str">
        <f t="shared" si="31"/>
        <v/>
      </c>
      <c r="R263" s="61"/>
      <c r="S263" s="62"/>
      <c r="T263" s="80" t="s">
        <v>21</v>
      </c>
      <c r="U263" s="81"/>
      <c r="V263" s="99"/>
      <c r="W263" s="55"/>
      <c r="X263" s="55"/>
      <c r="Y263" s="56"/>
      <c r="Z263" s="55"/>
      <c r="AA263" s="56"/>
      <c r="AB263" s="55"/>
      <c r="AC263" s="57" t="str">
        <f t="shared" si="32"/>
        <v/>
      </c>
      <c r="AD263" s="57" t="str">
        <f t="shared" si="33"/>
        <v/>
      </c>
      <c r="AE263" s="57" t="str">
        <f xml:space="preserve">
IF(OR('Dados da OS'!$D$8=Parâmetros!$B$3,'Dados da OS'!$D$8=Parâmetros!$B$4),
  IF(OR(ISBLANK(X263),ISBLANK(Z263)),
     IF(OR(V263="ALI",V263="AIE"),"L",IF(ISBLANK(V263),"","A")),
     IF(V263="EE",IF(Z263&gt;=3,IF(X263&gt;=5,"H","A"),
     IF(Z263&gt;=2,IF(X263&gt;=16,"H",IF(X263&lt;=4,"L","A")),IF(X263&lt;=15,"L","A"))),
     IF(OR(V263="SE",V263="CE"),IF(Z263&gt;=4,IF(X263&gt;=6,"H","A"),IF(Z263&gt;=2,IF(X263&gt;=20,"H",IF(X263&lt;=5,"L","A")),IF(X263&lt;=19,"L","A"))),
     IF(OR(V263="ALI",V263="AIE"),IF(Z263&gt;=6,IF(X263&gt;=20,"H","A"),IF(Z263&gt;=2,IF(X263&gt;=51,"H",IF(X263&lt;=19,"L","A")),IF(X263&lt;=50,"L","A"))))))),
IF('Dados da OS'!$D$8=Parâmetros!$B$6,"Indicativa",
IF('Dados da OS'!$D$8=Parâmetros!$B$5,"PFS","")))</f>
        <v/>
      </c>
      <c r="AF263" s="57">
        <f>IFERROR(VLOOKUP(W263,'Fatores de Impacto e INMs'!$A$3:$D$32,3,0),1)</f>
        <v>1</v>
      </c>
      <c r="AG263" s="57">
        <f>IFERROR(VLOOKUP(W263,'Fatores de Impacto e INMs'!$A$3:$E$32,5,0),1)</f>
        <v>1</v>
      </c>
      <c r="AH263" s="82" t="str">
        <f xml:space="preserve">
IF(OR('Dados da OS'!$D$8="Selecione o tipo da contagem",ISBLANK('Dados da OS'!$D$8),V263="INM",V263="N/A",ISBLANK(V263),ISBLANK(W263),AG263="VF"),"-",
   IF('Dados da OS'!$D$8=Parâmetros!$B$3,
      IF(OR(ISBLANK(X263),ISBLANK(Z263)),"-",
         IF(AE263="L","Baixa",IF(AE263="A","Média",IF(AE263="H","Alta","-")))),
      IF('Dados da OS'!$D$8=Parâmetros!$B$4,
         IF(OR(V263="ALI",V263="AIE"),"Baixa",IF(OR(V263="EE",V263="SE",V263="CE"),"Média","-")),
         IF(OR('Dados da OS'!$D$8=Parâmetros!$B$5,'Dados da OS'!$D$8=Parâmetros!$B$6),"-"))))</f>
        <v>-</v>
      </c>
      <c r="AI263" s="83" t="str">
        <f xml:space="preserve">
IF(OR(ISBLANK(V263),ISBLANK(U263),ISBLANK(W263),V263="N/A",ISBLANK('Dados da OS'!$D$8)),"",
   IF(OR('Dados da OS'!$D$8=Parâmetros!$B$3,'Dados da OS'!$D$8=Parâmetros!$B$4),
      IF(OR(AND(V263="INM",AG263&lt;&gt;"VF"),AND(AG263="VF",V263&lt;&gt;"INM")),"",
        IF(AND(V263="INM",AG263="VF"),IF(ISBLANK(AB263),"",AF263*AB263),
        IF('Dados da OS'!$D$8=Parâmetros!$B$4,
           IF(OR(V263="CE",V263="EE"),4,IF(V263="SE",5,IF(V263="ALI",7,IF(V263="AIE",5,"")))),
        IF('Dados da OS'!$D$8=Parâmetros!$B$3,
           IF(OR(ISBLANK(X263),ISBLANK(Z263)),"",
              IF(V263="ALI",IF(AE263="L",7,IF(AE263="A",10,15)),
                 IF(V263="AIE",IF(AE263="L",5,IF(AE263="A",7,10)),
                    IF(V263="SE",IF(AE263="L",4,IF(AE263="A",5,7)),
                       IF(OR(V263="EE",V263="CE"),IF(AE263="L",3,IF(AE263="A",4,6)),""))))))))),
   IF('Dados da OS'!$D$8=Parâmetros!$B$5,
      IF(OR(AND(V263="INM",AG263&lt;&gt;"VF"),AND(AG263="VF",V263&lt;&gt;"INM")),"",
         IF(V263="INM",IF(AG263="VF",AF263*AB263,""),
            IF(V263="PE",4.6,
            IF(V263="AL",7,"")))),
   IF('Dados da OS'!$D$8=Parâmetros!$B$6,
      IF(V263="ALI",35,IF(V263="AIE",15,"")),""))
    )
)</f>
        <v/>
      </c>
      <c r="AJ263" s="82" t="str">
        <f t="shared" si="34"/>
        <v/>
      </c>
      <c r="AK263" s="84"/>
      <c r="AL263" s="85" t="s">
        <v>21</v>
      </c>
      <c r="AM263" s="86"/>
      <c r="AN263" s="85"/>
      <c r="AO263" s="87"/>
      <c r="AP263" s="85"/>
      <c r="AQ263" s="86"/>
      <c r="AR263" s="85"/>
    </row>
    <row r="264" spans="1:44" ht="15.75" customHeight="1">
      <c r="A264" s="54"/>
      <c r="B264" s="100"/>
      <c r="C264" s="55"/>
      <c r="D264" s="55"/>
      <c r="E264" s="56"/>
      <c r="F264" s="55"/>
      <c r="G264" s="56"/>
      <c r="H264" s="55"/>
      <c r="I264" s="64"/>
      <c r="J264" s="57" t="str">
        <f t="shared" si="29"/>
        <v/>
      </c>
      <c r="K264" s="57" t="str">
        <f t="shared" si="30"/>
        <v/>
      </c>
      <c r="L264" s="57" t="str">
        <f xml:space="preserve">
IF(OR('Dados da OS'!$D$8=Parâmetros!$B$3,'Dados da OS'!$D$8=Parâmetros!$B$4),
  IF(OR(ISBLANK(D264),ISBLANK(F264)),
     IF(OR(B264="ALI",B264="AIE"),"L",IF(ISBLANK(B264),"","A")),
     IF(B264="EE",IF(F264&gt;=3,IF(D264&gt;=5,"H","A"),
     IF(F264&gt;=2,IF(D264&gt;=16,"H",IF(D264&lt;=4,"L","A")),IF(D264&lt;=15,"L","A"))),
     IF(OR(B264="SE",B264="CE"),IF(F264&gt;=4,IF(D264&gt;=6,"H","A"),IF(F264&gt;=2,IF(D264&gt;=20,"H",IF(D264&lt;=5,"L","A")),IF(D264&lt;=19,"L","A"))),
     IF(OR(B264="ALI",B264="AIE"),IF(F264&gt;=6,IF(D264&gt;=20,"H","A"),IF(F264&gt;=2,IF(D264&gt;=51,"H",IF(D264&lt;=19,"L","A")),IF(D264&lt;=50,"L","A"))))))),
IF('Dados da OS'!$D$8=Parâmetros!$B$6,"Indicativa",
IF('Dados da OS'!$D$8=Parâmetros!$B$5,"PFS","")))</f>
        <v/>
      </c>
      <c r="M264" s="57">
        <f>IFERROR(VLOOKUP(C264,'Fatores de Impacto e INMs'!$A$3:$D$32,3,0),1)</f>
        <v>1</v>
      </c>
      <c r="N264" s="57">
        <f>IFERROR(VLOOKUP(C264,'Fatores de Impacto e INMs'!$A$3:$E$32,5,0),1)</f>
        <v>1</v>
      </c>
      <c r="O264" s="63" t="str">
        <f xml:space="preserve">
IF(OR('Dados da OS'!$D$8="Selecione o tipo da contagem",ISBLANK('Dados da OS'!$D$8),B264="INM",B264="N/A",ISBLANK(B264),ISBLANK(C264),N264="VF"),"-",
   IF('Dados da OS'!$D$8=Parâmetros!$B$3,
      IF(OR(ISBLANK(D264),ISBLANK(F264)),"-",
         IF(L264="L","Baixa",IF(L264="A","Média",IF(L264="H","Alta","-")))),
      IF('Dados da OS'!$D$8=Parâmetros!$B$4,
         IF(OR(B264="ALI",B264="AIE"),"Baixa",IF(OR(B264="EE",B264="SE",B264="CE"),"Média","-")),
         IF(OR('Dados da OS'!$D$8=Parâmetros!$B$5,'Dados da OS'!$D$8=Parâmetros!$B$6),"-"))))</f>
        <v>-</v>
      </c>
      <c r="P264" s="59" t="str">
        <f xml:space="preserve">
IF(OR(ISBLANK(B264),ISBLANK(C264),B264="N/A",ISBLANK('Dados da OS'!$D$8)),"",
   IF(OR('Dados da OS'!$D$8=Parâmetros!$B$3,'Dados da OS'!$D$8=Parâmetros!$B$4),
      IF(OR(AND(B264="INM",N264&lt;&gt;"VF"),AND(N264="VF",B264&lt;&gt;"INM")),"",
        IF(AND(B264="INM",N264="VF"),IF(ISBLANK(H264),"",M264*H264),
        IF('Dados da OS'!$D$8=Parâmetros!$B$4,
           IF(OR(B264="CE",B264="EE"),4,IF(B264="SE",5,IF(B264="ALI",7,IF(B264="AIE",5,"")))),
        IF('Dados da OS'!$D$8=Parâmetros!$B$3,
           IF(OR(ISBLANK(D264),ISBLANK(F264)),"",
              IF(B264="ALI",IF(L264="L",7,IF(L264="A",10,15)),
                 IF(B264="AIE",IF(L264="L",5,IF(L264="A",7,10)),
                    IF(B264="SE",IF(L264="L",4,IF(L264="A",5,7)),
                       IF(OR(B264="EE",B264="CE"),IF(L264="L",3,IF(L264="A",4,6)),""))))))))),
   IF('Dados da OS'!$D$8=Parâmetros!$B$5,
      IF(OR(AND(B264="INM",N264&lt;&gt;"VF"),AND(N264="VF",B264&lt;&gt;"INM")),"",
         IF(B264="INM",IF(N264="VF",M264*H264,""),
            IF(B264="PE",4.6,
            IF(B264="AL",7,"")))),
   IF('Dados da OS'!$D$8=Parâmetros!$B$6,
      IF(B264="ALI",35,IF(B264="AIE",15,"")),""))
    )
)</f>
        <v/>
      </c>
      <c r="Q264" s="60" t="str">
        <f t="shared" si="31"/>
        <v/>
      </c>
      <c r="R264" s="61"/>
      <c r="S264" s="62"/>
      <c r="T264" s="80" t="s">
        <v>21</v>
      </c>
      <c r="U264" s="81"/>
      <c r="V264" s="99"/>
      <c r="W264" s="55"/>
      <c r="X264" s="55"/>
      <c r="Y264" s="56"/>
      <c r="Z264" s="55"/>
      <c r="AA264" s="56"/>
      <c r="AB264" s="55"/>
      <c r="AC264" s="57" t="str">
        <f t="shared" si="32"/>
        <v/>
      </c>
      <c r="AD264" s="57" t="str">
        <f t="shared" si="33"/>
        <v/>
      </c>
      <c r="AE264" s="57" t="str">
        <f xml:space="preserve">
IF(OR('Dados da OS'!$D$8=Parâmetros!$B$3,'Dados da OS'!$D$8=Parâmetros!$B$4),
  IF(OR(ISBLANK(X264),ISBLANK(Z264)),
     IF(OR(V264="ALI",V264="AIE"),"L",IF(ISBLANK(V264),"","A")),
     IF(V264="EE",IF(Z264&gt;=3,IF(X264&gt;=5,"H","A"),
     IF(Z264&gt;=2,IF(X264&gt;=16,"H",IF(X264&lt;=4,"L","A")),IF(X264&lt;=15,"L","A"))),
     IF(OR(V264="SE",V264="CE"),IF(Z264&gt;=4,IF(X264&gt;=6,"H","A"),IF(Z264&gt;=2,IF(X264&gt;=20,"H",IF(X264&lt;=5,"L","A")),IF(X264&lt;=19,"L","A"))),
     IF(OR(V264="ALI",V264="AIE"),IF(Z264&gt;=6,IF(X264&gt;=20,"H","A"),IF(Z264&gt;=2,IF(X264&gt;=51,"H",IF(X264&lt;=19,"L","A")),IF(X264&lt;=50,"L","A"))))))),
IF('Dados da OS'!$D$8=Parâmetros!$B$6,"Indicativa",
IF('Dados da OS'!$D$8=Parâmetros!$B$5,"PFS","")))</f>
        <v/>
      </c>
      <c r="AF264" s="57">
        <f>IFERROR(VLOOKUP(W264,'Fatores de Impacto e INMs'!$A$3:$D$32,3,0),1)</f>
        <v>1</v>
      </c>
      <c r="AG264" s="57">
        <f>IFERROR(VLOOKUP(W264,'Fatores de Impacto e INMs'!$A$3:$E$32,5,0),1)</f>
        <v>1</v>
      </c>
      <c r="AH264" s="82" t="str">
        <f xml:space="preserve">
IF(OR('Dados da OS'!$D$8="Selecione o tipo da contagem",ISBLANK('Dados da OS'!$D$8),V264="INM",V264="N/A",ISBLANK(V264),ISBLANK(W264),AG264="VF"),"-",
   IF('Dados da OS'!$D$8=Parâmetros!$B$3,
      IF(OR(ISBLANK(X264),ISBLANK(Z264)),"-",
         IF(AE264="L","Baixa",IF(AE264="A","Média",IF(AE264="H","Alta","-")))),
      IF('Dados da OS'!$D$8=Parâmetros!$B$4,
         IF(OR(V264="ALI",V264="AIE"),"Baixa",IF(OR(V264="EE",V264="SE",V264="CE"),"Média","-")),
         IF(OR('Dados da OS'!$D$8=Parâmetros!$B$5,'Dados da OS'!$D$8=Parâmetros!$B$6),"-"))))</f>
        <v>-</v>
      </c>
      <c r="AI264" s="83" t="str">
        <f xml:space="preserve">
IF(OR(ISBLANK(V264),ISBLANK(U264),ISBLANK(W264),V264="N/A",ISBLANK('Dados da OS'!$D$8)),"",
   IF(OR('Dados da OS'!$D$8=Parâmetros!$B$3,'Dados da OS'!$D$8=Parâmetros!$B$4),
      IF(OR(AND(V264="INM",AG264&lt;&gt;"VF"),AND(AG264="VF",V264&lt;&gt;"INM")),"",
        IF(AND(V264="INM",AG264="VF"),IF(ISBLANK(AB264),"",AF264*AB264),
        IF('Dados da OS'!$D$8=Parâmetros!$B$4,
           IF(OR(V264="CE",V264="EE"),4,IF(V264="SE",5,IF(V264="ALI",7,IF(V264="AIE",5,"")))),
        IF('Dados da OS'!$D$8=Parâmetros!$B$3,
           IF(OR(ISBLANK(X264),ISBLANK(Z264)),"",
              IF(V264="ALI",IF(AE264="L",7,IF(AE264="A",10,15)),
                 IF(V264="AIE",IF(AE264="L",5,IF(AE264="A",7,10)),
                    IF(V264="SE",IF(AE264="L",4,IF(AE264="A",5,7)),
                       IF(OR(V264="EE",V264="CE"),IF(AE264="L",3,IF(AE264="A",4,6)),""))))))))),
   IF('Dados da OS'!$D$8=Parâmetros!$B$5,
      IF(OR(AND(V264="INM",AG264&lt;&gt;"VF"),AND(AG264="VF",V264&lt;&gt;"INM")),"",
         IF(V264="INM",IF(AG264="VF",AF264*AB264,""),
            IF(V264="PE",4.6,
            IF(V264="AL",7,"")))),
   IF('Dados da OS'!$D$8=Parâmetros!$B$6,
      IF(V264="ALI",35,IF(V264="AIE",15,"")),""))
    )
)</f>
        <v/>
      </c>
      <c r="AJ264" s="82" t="str">
        <f t="shared" si="34"/>
        <v/>
      </c>
      <c r="AK264" s="84"/>
      <c r="AL264" s="85" t="s">
        <v>21</v>
      </c>
      <c r="AM264" s="86"/>
      <c r="AN264" s="85"/>
      <c r="AO264" s="87"/>
      <c r="AP264" s="85"/>
      <c r="AQ264" s="86"/>
      <c r="AR264" s="85"/>
    </row>
    <row r="265" spans="1:44" ht="15.75" customHeight="1">
      <c r="A265" s="54"/>
      <c r="B265" s="100"/>
      <c r="C265" s="55"/>
      <c r="D265" s="55"/>
      <c r="E265" s="56"/>
      <c r="F265" s="55"/>
      <c r="G265" s="56"/>
      <c r="H265" s="55"/>
      <c r="I265" s="64"/>
      <c r="J265" s="57" t="str">
        <f t="shared" si="29"/>
        <v/>
      </c>
      <c r="K265" s="57" t="str">
        <f t="shared" si="30"/>
        <v/>
      </c>
      <c r="L265" s="57" t="str">
        <f xml:space="preserve">
IF(OR('Dados da OS'!$D$8=Parâmetros!$B$3,'Dados da OS'!$D$8=Parâmetros!$B$4),
  IF(OR(ISBLANK(D265),ISBLANK(F265)),
     IF(OR(B265="ALI",B265="AIE"),"L",IF(ISBLANK(B265),"","A")),
     IF(B265="EE",IF(F265&gt;=3,IF(D265&gt;=5,"H","A"),
     IF(F265&gt;=2,IF(D265&gt;=16,"H",IF(D265&lt;=4,"L","A")),IF(D265&lt;=15,"L","A"))),
     IF(OR(B265="SE",B265="CE"),IF(F265&gt;=4,IF(D265&gt;=6,"H","A"),IF(F265&gt;=2,IF(D265&gt;=20,"H",IF(D265&lt;=5,"L","A")),IF(D265&lt;=19,"L","A"))),
     IF(OR(B265="ALI",B265="AIE"),IF(F265&gt;=6,IF(D265&gt;=20,"H","A"),IF(F265&gt;=2,IF(D265&gt;=51,"H",IF(D265&lt;=19,"L","A")),IF(D265&lt;=50,"L","A"))))))),
IF('Dados da OS'!$D$8=Parâmetros!$B$6,"Indicativa",
IF('Dados da OS'!$D$8=Parâmetros!$B$5,"PFS","")))</f>
        <v/>
      </c>
      <c r="M265" s="57">
        <f>IFERROR(VLOOKUP(C265,'Fatores de Impacto e INMs'!$A$3:$D$32,3,0),1)</f>
        <v>1</v>
      </c>
      <c r="N265" s="57">
        <f>IFERROR(VLOOKUP(C265,'Fatores de Impacto e INMs'!$A$3:$E$32,5,0),1)</f>
        <v>1</v>
      </c>
      <c r="O265" s="63" t="str">
        <f xml:space="preserve">
IF(OR('Dados da OS'!$D$8="Selecione o tipo da contagem",ISBLANK('Dados da OS'!$D$8),B265="INM",B265="N/A",ISBLANK(B265),ISBLANK(C265),N265="VF"),"-",
   IF('Dados da OS'!$D$8=Parâmetros!$B$3,
      IF(OR(ISBLANK(D265),ISBLANK(F265)),"-",
         IF(L265="L","Baixa",IF(L265="A","Média",IF(L265="H","Alta","-")))),
      IF('Dados da OS'!$D$8=Parâmetros!$B$4,
         IF(OR(B265="ALI",B265="AIE"),"Baixa",IF(OR(B265="EE",B265="SE",B265="CE"),"Média","-")),
         IF(OR('Dados da OS'!$D$8=Parâmetros!$B$5,'Dados da OS'!$D$8=Parâmetros!$B$6),"-"))))</f>
        <v>-</v>
      </c>
      <c r="P265" s="59" t="str">
        <f xml:space="preserve">
IF(OR(ISBLANK(B265),ISBLANK(C265),B265="N/A",ISBLANK('Dados da OS'!$D$8)),"",
   IF(OR('Dados da OS'!$D$8=Parâmetros!$B$3,'Dados da OS'!$D$8=Parâmetros!$B$4),
      IF(OR(AND(B265="INM",N265&lt;&gt;"VF"),AND(N265="VF",B265&lt;&gt;"INM")),"",
        IF(AND(B265="INM",N265="VF"),IF(ISBLANK(H265),"",M265*H265),
        IF('Dados da OS'!$D$8=Parâmetros!$B$4,
           IF(OR(B265="CE",B265="EE"),4,IF(B265="SE",5,IF(B265="ALI",7,IF(B265="AIE",5,"")))),
        IF('Dados da OS'!$D$8=Parâmetros!$B$3,
           IF(OR(ISBLANK(D265),ISBLANK(F265)),"",
              IF(B265="ALI",IF(L265="L",7,IF(L265="A",10,15)),
                 IF(B265="AIE",IF(L265="L",5,IF(L265="A",7,10)),
                    IF(B265="SE",IF(L265="L",4,IF(L265="A",5,7)),
                       IF(OR(B265="EE",B265="CE"),IF(L265="L",3,IF(L265="A",4,6)),""))))))))),
   IF('Dados da OS'!$D$8=Parâmetros!$B$5,
      IF(OR(AND(B265="INM",N265&lt;&gt;"VF"),AND(N265="VF",B265&lt;&gt;"INM")),"",
         IF(B265="INM",IF(N265="VF",M265*H265,""),
            IF(B265="PE",4.6,
            IF(B265="AL",7,"")))),
   IF('Dados da OS'!$D$8=Parâmetros!$B$6,
      IF(B265="ALI",35,IF(B265="AIE",15,"")),""))
    )
)</f>
        <v/>
      </c>
      <c r="Q265" s="60" t="str">
        <f t="shared" si="31"/>
        <v/>
      </c>
      <c r="R265" s="61"/>
      <c r="S265" s="62"/>
      <c r="T265" s="80" t="s">
        <v>21</v>
      </c>
      <c r="U265" s="81"/>
      <c r="V265" s="99"/>
      <c r="W265" s="55"/>
      <c r="X265" s="55"/>
      <c r="Y265" s="56"/>
      <c r="Z265" s="55"/>
      <c r="AA265" s="56"/>
      <c r="AB265" s="55"/>
      <c r="AC265" s="57" t="str">
        <f t="shared" si="32"/>
        <v/>
      </c>
      <c r="AD265" s="57" t="str">
        <f t="shared" si="33"/>
        <v/>
      </c>
      <c r="AE265" s="57" t="str">
        <f xml:space="preserve">
IF(OR('Dados da OS'!$D$8=Parâmetros!$B$3,'Dados da OS'!$D$8=Parâmetros!$B$4),
  IF(OR(ISBLANK(X265),ISBLANK(Z265)),
     IF(OR(V265="ALI",V265="AIE"),"L",IF(ISBLANK(V265),"","A")),
     IF(V265="EE",IF(Z265&gt;=3,IF(X265&gt;=5,"H","A"),
     IF(Z265&gt;=2,IF(X265&gt;=16,"H",IF(X265&lt;=4,"L","A")),IF(X265&lt;=15,"L","A"))),
     IF(OR(V265="SE",V265="CE"),IF(Z265&gt;=4,IF(X265&gt;=6,"H","A"),IF(Z265&gt;=2,IF(X265&gt;=20,"H",IF(X265&lt;=5,"L","A")),IF(X265&lt;=19,"L","A"))),
     IF(OR(V265="ALI",V265="AIE"),IF(Z265&gt;=6,IF(X265&gt;=20,"H","A"),IF(Z265&gt;=2,IF(X265&gt;=51,"H",IF(X265&lt;=19,"L","A")),IF(X265&lt;=50,"L","A"))))))),
IF('Dados da OS'!$D$8=Parâmetros!$B$6,"Indicativa",
IF('Dados da OS'!$D$8=Parâmetros!$B$5,"PFS","")))</f>
        <v/>
      </c>
      <c r="AF265" s="57">
        <f>IFERROR(VLOOKUP(W265,'Fatores de Impacto e INMs'!$A$3:$D$32,3,0),1)</f>
        <v>1</v>
      </c>
      <c r="AG265" s="57">
        <f>IFERROR(VLOOKUP(W265,'Fatores de Impacto e INMs'!$A$3:$E$32,5,0),1)</f>
        <v>1</v>
      </c>
      <c r="AH265" s="82" t="str">
        <f xml:space="preserve">
IF(OR('Dados da OS'!$D$8="Selecione o tipo da contagem",ISBLANK('Dados da OS'!$D$8),V265="INM",V265="N/A",ISBLANK(V265),ISBLANK(W265),AG265="VF"),"-",
   IF('Dados da OS'!$D$8=Parâmetros!$B$3,
      IF(OR(ISBLANK(X265),ISBLANK(Z265)),"-",
         IF(AE265="L","Baixa",IF(AE265="A","Média",IF(AE265="H","Alta","-")))),
      IF('Dados da OS'!$D$8=Parâmetros!$B$4,
         IF(OR(V265="ALI",V265="AIE"),"Baixa",IF(OR(V265="EE",V265="SE",V265="CE"),"Média","-")),
         IF(OR('Dados da OS'!$D$8=Parâmetros!$B$5,'Dados da OS'!$D$8=Parâmetros!$B$6),"-"))))</f>
        <v>-</v>
      </c>
      <c r="AI265" s="83" t="str">
        <f xml:space="preserve">
IF(OR(ISBLANK(V265),ISBLANK(U265),ISBLANK(W265),V265="N/A",ISBLANK('Dados da OS'!$D$8)),"",
   IF(OR('Dados da OS'!$D$8=Parâmetros!$B$3,'Dados da OS'!$D$8=Parâmetros!$B$4),
      IF(OR(AND(V265="INM",AG265&lt;&gt;"VF"),AND(AG265="VF",V265&lt;&gt;"INM")),"",
        IF(AND(V265="INM",AG265="VF"),IF(ISBLANK(AB265),"",AF265*AB265),
        IF('Dados da OS'!$D$8=Parâmetros!$B$4,
           IF(OR(V265="CE",V265="EE"),4,IF(V265="SE",5,IF(V265="ALI",7,IF(V265="AIE",5,"")))),
        IF('Dados da OS'!$D$8=Parâmetros!$B$3,
           IF(OR(ISBLANK(X265),ISBLANK(Z265)),"",
              IF(V265="ALI",IF(AE265="L",7,IF(AE265="A",10,15)),
                 IF(V265="AIE",IF(AE265="L",5,IF(AE265="A",7,10)),
                    IF(V265="SE",IF(AE265="L",4,IF(AE265="A",5,7)),
                       IF(OR(V265="EE",V265="CE"),IF(AE265="L",3,IF(AE265="A",4,6)),""))))))))),
   IF('Dados da OS'!$D$8=Parâmetros!$B$5,
      IF(OR(AND(V265="INM",AG265&lt;&gt;"VF"),AND(AG265="VF",V265&lt;&gt;"INM")),"",
         IF(V265="INM",IF(AG265="VF",AF265*AB265,""),
            IF(V265="PE",4.6,
            IF(V265="AL",7,"")))),
   IF('Dados da OS'!$D$8=Parâmetros!$B$6,
      IF(V265="ALI",35,IF(V265="AIE",15,"")),""))
    )
)</f>
        <v/>
      </c>
      <c r="AJ265" s="82" t="str">
        <f t="shared" si="34"/>
        <v/>
      </c>
      <c r="AK265" s="84"/>
      <c r="AL265" s="85" t="s">
        <v>21</v>
      </c>
      <c r="AM265" s="86"/>
      <c r="AN265" s="85"/>
      <c r="AO265" s="87"/>
      <c r="AP265" s="85"/>
      <c r="AQ265" s="86"/>
      <c r="AR265" s="85"/>
    </row>
    <row r="266" spans="1:44" ht="15.75" customHeight="1">
      <c r="A266" s="54"/>
      <c r="B266" s="100"/>
      <c r="C266" s="55"/>
      <c r="D266" s="55"/>
      <c r="E266" s="56"/>
      <c r="F266" s="55"/>
      <c r="G266" s="56"/>
      <c r="H266" s="55"/>
      <c r="I266" s="64"/>
      <c r="J266" s="57" t="str">
        <f t="shared" si="29"/>
        <v/>
      </c>
      <c r="K266" s="57" t="str">
        <f t="shared" si="30"/>
        <v/>
      </c>
      <c r="L266" s="57" t="str">
        <f xml:space="preserve">
IF(OR('Dados da OS'!$D$8=Parâmetros!$B$3,'Dados da OS'!$D$8=Parâmetros!$B$4),
  IF(OR(ISBLANK(D266),ISBLANK(F266)),
     IF(OR(B266="ALI",B266="AIE"),"L",IF(ISBLANK(B266),"","A")),
     IF(B266="EE",IF(F266&gt;=3,IF(D266&gt;=5,"H","A"),
     IF(F266&gt;=2,IF(D266&gt;=16,"H",IF(D266&lt;=4,"L","A")),IF(D266&lt;=15,"L","A"))),
     IF(OR(B266="SE",B266="CE"),IF(F266&gt;=4,IF(D266&gt;=6,"H","A"),IF(F266&gt;=2,IF(D266&gt;=20,"H",IF(D266&lt;=5,"L","A")),IF(D266&lt;=19,"L","A"))),
     IF(OR(B266="ALI",B266="AIE"),IF(F266&gt;=6,IF(D266&gt;=20,"H","A"),IF(F266&gt;=2,IF(D266&gt;=51,"H",IF(D266&lt;=19,"L","A")),IF(D266&lt;=50,"L","A"))))))),
IF('Dados da OS'!$D$8=Parâmetros!$B$6,"Indicativa",
IF('Dados da OS'!$D$8=Parâmetros!$B$5,"PFS","")))</f>
        <v/>
      </c>
      <c r="M266" s="57">
        <f>IFERROR(VLOOKUP(C266,'Fatores de Impacto e INMs'!$A$3:$D$32,3,0),1)</f>
        <v>1</v>
      </c>
      <c r="N266" s="57">
        <f>IFERROR(VLOOKUP(C266,'Fatores de Impacto e INMs'!$A$3:$E$32,5,0),1)</f>
        <v>1</v>
      </c>
      <c r="O266" s="63" t="str">
        <f xml:space="preserve">
IF(OR('Dados da OS'!$D$8="Selecione o tipo da contagem",ISBLANK('Dados da OS'!$D$8),B266="INM",B266="N/A",ISBLANK(B266),ISBLANK(C266),N266="VF"),"-",
   IF('Dados da OS'!$D$8=Parâmetros!$B$3,
      IF(OR(ISBLANK(D266),ISBLANK(F266)),"-",
         IF(L266="L","Baixa",IF(L266="A","Média",IF(L266="H","Alta","-")))),
      IF('Dados da OS'!$D$8=Parâmetros!$B$4,
         IF(OR(B266="ALI",B266="AIE"),"Baixa",IF(OR(B266="EE",B266="SE",B266="CE"),"Média","-")),
         IF(OR('Dados da OS'!$D$8=Parâmetros!$B$5,'Dados da OS'!$D$8=Parâmetros!$B$6),"-"))))</f>
        <v>-</v>
      </c>
      <c r="P266" s="59" t="str">
        <f xml:space="preserve">
IF(OR(ISBLANK(B266),ISBLANK(C266),B266="N/A",ISBLANK('Dados da OS'!$D$8)),"",
   IF(OR('Dados da OS'!$D$8=Parâmetros!$B$3,'Dados da OS'!$D$8=Parâmetros!$B$4),
      IF(OR(AND(B266="INM",N266&lt;&gt;"VF"),AND(N266="VF",B266&lt;&gt;"INM")),"",
        IF(AND(B266="INM",N266="VF"),IF(ISBLANK(H266),"",M266*H266),
        IF('Dados da OS'!$D$8=Parâmetros!$B$4,
           IF(OR(B266="CE",B266="EE"),4,IF(B266="SE",5,IF(B266="ALI",7,IF(B266="AIE",5,"")))),
        IF('Dados da OS'!$D$8=Parâmetros!$B$3,
           IF(OR(ISBLANK(D266),ISBLANK(F266)),"",
              IF(B266="ALI",IF(L266="L",7,IF(L266="A",10,15)),
                 IF(B266="AIE",IF(L266="L",5,IF(L266="A",7,10)),
                    IF(B266="SE",IF(L266="L",4,IF(L266="A",5,7)),
                       IF(OR(B266="EE",B266="CE"),IF(L266="L",3,IF(L266="A",4,6)),""))))))))),
   IF('Dados da OS'!$D$8=Parâmetros!$B$5,
      IF(OR(AND(B266="INM",N266&lt;&gt;"VF"),AND(N266="VF",B266&lt;&gt;"INM")),"",
         IF(B266="INM",IF(N266="VF",M266*H266,""),
            IF(B266="PE",4.6,
            IF(B266="AL",7,"")))),
   IF('Dados da OS'!$D$8=Parâmetros!$B$6,
      IF(B266="ALI",35,IF(B266="AIE",15,"")),""))
    )
)</f>
        <v/>
      </c>
      <c r="Q266" s="60" t="str">
        <f t="shared" si="31"/>
        <v/>
      </c>
      <c r="R266" s="61"/>
      <c r="S266" s="62"/>
      <c r="T266" s="80" t="s">
        <v>21</v>
      </c>
      <c r="U266" s="81"/>
      <c r="V266" s="99"/>
      <c r="W266" s="55"/>
      <c r="X266" s="55"/>
      <c r="Y266" s="56"/>
      <c r="Z266" s="55"/>
      <c r="AA266" s="56"/>
      <c r="AB266" s="55"/>
      <c r="AC266" s="57" t="str">
        <f t="shared" si="32"/>
        <v/>
      </c>
      <c r="AD266" s="57" t="str">
        <f t="shared" si="33"/>
        <v/>
      </c>
      <c r="AE266" s="57" t="str">
        <f xml:space="preserve">
IF(OR('Dados da OS'!$D$8=Parâmetros!$B$3,'Dados da OS'!$D$8=Parâmetros!$B$4),
  IF(OR(ISBLANK(X266),ISBLANK(Z266)),
     IF(OR(V266="ALI",V266="AIE"),"L",IF(ISBLANK(V266),"","A")),
     IF(V266="EE",IF(Z266&gt;=3,IF(X266&gt;=5,"H","A"),
     IF(Z266&gt;=2,IF(X266&gt;=16,"H",IF(X266&lt;=4,"L","A")),IF(X266&lt;=15,"L","A"))),
     IF(OR(V266="SE",V266="CE"),IF(Z266&gt;=4,IF(X266&gt;=6,"H","A"),IF(Z266&gt;=2,IF(X266&gt;=20,"H",IF(X266&lt;=5,"L","A")),IF(X266&lt;=19,"L","A"))),
     IF(OR(V266="ALI",V266="AIE"),IF(Z266&gt;=6,IF(X266&gt;=20,"H","A"),IF(Z266&gt;=2,IF(X266&gt;=51,"H",IF(X266&lt;=19,"L","A")),IF(X266&lt;=50,"L","A"))))))),
IF('Dados da OS'!$D$8=Parâmetros!$B$6,"Indicativa",
IF('Dados da OS'!$D$8=Parâmetros!$B$5,"PFS","")))</f>
        <v/>
      </c>
      <c r="AF266" s="57">
        <f>IFERROR(VLOOKUP(W266,'Fatores de Impacto e INMs'!$A$3:$D$32,3,0),1)</f>
        <v>1</v>
      </c>
      <c r="AG266" s="57">
        <f>IFERROR(VLOOKUP(W266,'Fatores de Impacto e INMs'!$A$3:$E$32,5,0),1)</f>
        <v>1</v>
      </c>
      <c r="AH266" s="82" t="str">
        <f xml:space="preserve">
IF(OR('Dados da OS'!$D$8="Selecione o tipo da contagem",ISBLANK('Dados da OS'!$D$8),V266="INM",V266="N/A",ISBLANK(V266),ISBLANK(W266),AG266="VF"),"-",
   IF('Dados da OS'!$D$8=Parâmetros!$B$3,
      IF(OR(ISBLANK(X266),ISBLANK(Z266)),"-",
         IF(AE266="L","Baixa",IF(AE266="A","Média",IF(AE266="H","Alta","-")))),
      IF('Dados da OS'!$D$8=Parâmetros!$B$4,
         IF(OR(V266="ALI",V266="AIE"),"Baixa",IF(OR(V266="EE",V266="SE",V266="CE"),"Média","-")),
         IF(OR('Dados da OS'!$D$8=Parâmetros!$B$5,'Dados da OS'!$D$8=Parâmetros!$B$6),"-"))))</f>
        <v>-</v>
      </c>
      <c r="AI266" s="83" t="str">
        <f xml:space="preserve">
IF(OR(ISBLANK(V266),ISBLANK(U266),ISBLANK(W266),V266="N/A",ISBLANK('Dados da OS'!$D$8)),"",
   IF(OR('Dados da OS'!$D$8=Parâmetros!$B$3,'Dados da OS'!$D$8=Parâmetros!$B$4),
      IF(OR(AND(V266="INM",AG266&lt;&gt;"VF"),AND(AG266="VF",V266&lt;&gt;"INM")),"",
        IF(AND(V266="INM",AG266="VF"),IF(ISBLANK(AB266),"",AF266*AB266),
        IF('Dados da OS'!$D$8=Parâmetros!$B$4,
           IF(OR(V266="CE",V266="EE"),4,IF(V266="SE",5,IF(V266="ALI",7,IF(V266="AIE",5,"")))),
        IF('Dados da OS'!$D$8=Parâmetros!$B$3,
           IF(OR(ISBLANK(X266),ISBLANK(Z266)),"",
              IF(V266="ALI",IF(AE266="L",7,IF(AE266="A",10,15)),
                 IF(V266="AIE",IF(AE266="L",5,IF(AE266="A",7,10)),
                    IF(V266="SE",IF(AE266="L",4,IF(AE266="A",5,7)),
                       IF(OR(V266="EE",V266="CE"),IF(AE266="L",3,IF(AE266="A",4,6)),""))))))))),
   IF('Dados da OS'!$D$8=Parâmetros!$B$5,
      IF(OR(AND(V266="INM",AG266&lt;&gt;"VF"),AND(AG266="VF",V266&lt;&gt;"INM")),"",
         IF(V266="INM",IF(AG266="VF",AF266*AB266,""),
            IF(V266="PE",4.6,
            IF(V266="AL",7,"")))),
   IF('Dados da OS'!$D$8=Parâmetros!$B$6,
      IF(V266="ALI",35,IF(V266="AIE",15,"")),""))
    )
)</f>
        <v/>
      </c>
      <c r="AJ266" s="82" t="str">
        <f t="shared" si="34"/>
        <v/>
      </c>
      <c r="AK266" s="84"/>
      <c r="AL266" s="85" t="s">
        <v>21</v>
      </c>
      <c r="AM266" s="86"/>
      <c r="AN266" s="85"/>
      <c r="AO266" s="87"/>
      <c r="AP266" s="85"/>
      <c r="AQ266" s="86"/>
      <c r="AR266" s="85"/>
    </row>
    <row r="267" spans="1:44" ht="15.75" customHeight="1">
      <c r="A267" s="54"/>
      <c r="B267" s="100"/>
      <c r="C267" s="55"/>
      <c r="D267" s="55"/>
      <c r="E267" s="56"/>
      <c r="F267" s="55"/>
      <c r="G267" s="56"/>
      <c r="H267" s="55"/>
      <c r="I267" s="64"/>
      <c r="J267" s="57" t="str">
        <f t="shared" si="29"/>
        <v/>
      </c>
      <c r="K267" s="57" t="str">
        <f t="shared" si="30"/>
        <v/>
      </c>
      <c r="L267" s="57" t="str">
        <f xml:space="preserve">
IF(OR('Dados da OS'!$D$8=Parâmetros!$B$3,'Dados da OS'!$D$8=Parâmetros!$B$4),
  IF(OR(ISBLANK(D267),ISBLANK(F267)),
     IF(OR(B267="ALI",B267="AIE"),"L",IF(ISBLANK(B267),"","A")),
     IF(B267="EE",IF(F267&gt;=3,IF(D267&gt;=5,"H","A"),
     IF(F267&gt;=2,IF(D267&gt;=16,"H",IF(D267&lt;=4,"L","A")),IF(D267&lt;=15,"L","A"))),
     IF(OR(B267="SE",B267="CE"),IF(F267&gt;=4,IF(D267&gt;=6,"H","A"),IF(F267&gt;=2,IF(D267&gt;=20,"H",IF(D267&lt;=5,"L","A")),IF(D267&lt;=19,"L","A"))),
     IF(OR(B267="ALI",B267="AIE"),IF(F267&gt;=6,IF(D267&gt;=20,"H","A"),IF(F267&gt;=2,IF(D267&gt;=51,"H",IF(D267&lt;=19,"L","A")),IF(D267&lt;=50,"L","A"))))))),
IF('Dados da OS'!$D$8=Parâmetros!$B$6,"Indicativa",
IF('Dados da OS'!$D$8=Parâmetros!$B$5,"PFS","")))</f>
        <v/>
      </c>
      <c r="M267" s="57">
        <f>IFERROR(VLOOKUP(C267,'Fatores de Impacto e INMs'!$A$3:$D$32,3,0),1)</f>
        <v>1</v>
      </c>
      <c r="N267" s="57">
        <f>IFERROR(VLOOKUP(C267,'Fatores de Impacto e INMs'!$A$3:$E$32,5,0),1)</f>
        <v>1</v>
      </c>
      <c r="O267" s="63" t="str">
        <f xml:space="preserve">
IF(OR('Dados da OS'!$D$8="Selecione o tipo da contagem",ISBLANK('Dados da OS'!$D$8),B267="INM",B267="N/A",ISBLANK(B267),ISBLANK(C267),N267="VF"),"-",
   IF('Dados da OS'!$D$8=Parâmetros!$B$3,
      IF(OR(ISBLANK(D267),ISBLANK(F267)),"-",
         IF(L267="L","Baixa",IF(L267="A","Média",IF(L267="H","Alta","-")))),
      IF('Dados da OS'!$D$8=Parâmetros!$B$4,
         IF(OR(B267="ALI",B267="AIE"),"Baixa",IF(OR(B267="EE",B267="SE",B267="CE"),"Média","-")),
         IF(OR('Dados da OS'!$D$8=Parâmetros!$B$5,'Dados da OS'!$D$8=Parâmetros!$B$6),"-"))))</f>
        <v>-</v>
      </c>
      <c r="P267" s="59" t="str">
        <f xml:space="preserve">
IF(OR(ISBLANK(B267),ISBLANK(C267),B267="N/A",ISBLANK('Dados da OS'!$D$8)),"",
   IF(OR('Dados da OS'!$D$8=Parâmetros!$B$3,'Dados da OS'!$D$8=Parâmetros!$B$4),
      IF(OR(AND(B267="INM",N267&lt;&gt;"VF"),AND(N267="VF",B267&lt;&gt;"INM")),"",
        IF(AND(B267="INM",N267="VF"),IF(ISBLANK(H267),"",M267*H267),
        IF('Dados da OS'!$D$8=Parâmetros!$B$4,
           IF(OR(B267="CE",B267="EE"),4,IF(B267="SE",5,IF(B267="ALI",7,IF(B267="AIE",5,"")))),
        IF('Dados da OS'!$D$8=Parâmetros!$B$3,
           IF(OR(ISBLANK(D267),ISBLANK(F267)),"",
              IF(B267="ALI",IF(L267="L",7,IF(L267="A",10,15)),
                 IF(B267="AIE",IF(L267="L",5,IF(L267="A",7,10)),
                    IF(B267="SE",IF(L267="L",4,IF(L267="A",5,7)),
                       IF(OR(B267="EE",B267="CE"),IF(L267="L",3,IF(L267="A",4,6)),""))))))))),
   IF('Dados da OS'!$D$8=Parâmetros!$B$5,
      IF(OR(AND(B267="INM",N267&lt;&gt;"VF"),AND(N267="VF",B267&lt;&gt;"INM")),"",
         IF(B267="INM",IF(N267="VF",M267*H267,""),
            IF(B267="PE",4.6,
            IF(B267="AL",7,"")))),
   IF('Dados da OS'!$D$8=Parâmetros!$B$6,
      IF(B267="ALI",35,IF(B267="AIE",15,"")),""))
    )
)</f>
        <v/>
      </c>
      <c r="Q267" s="60" t="str">
        <f t="shared" si="31"/>
        <v/>
      </c>
      <c r="R267" s="61"/>
      <c r="S267" s="62"/>
      <c r="T267" s="80" t="s">
        <v>21</v>
      </c>
      <c r="U267" s="81"/>
      <c r="V267" s="99"/>
      <c r="W267" s="55"/>
      <c r="X267" s="55"/>
      <c r="Y267" s="56"/>
      <c r="Z267" s="55"/>
      <c r="AA267" s="56"/>
      <c r="AB267" s="55"/>
      <c r="AC267" s="57" t="str">
        <f t="shared" si="32"/>
        <v/>
      </c>
      <c r="AD267" s="57" t="str">
        <f t="shared" si="33"/>
        <v/>
      </c>
      <c r="AE267" s="57" t="str">
        <f xml:space="preserve">
IF(OR('Dados da OS'!$D$8=Parâmetros!$B$3,'Dados da OS'!$D$8=Parâmetros!$B$4),
  IF(OR(ISBLANK(X267),ISBLANK(Z267)),
     IF(OR(V267="ALI",V267="AIE"),"L",IF(ISBLANK(V267),"","A")),
     IF(V267="EE",IF(Z267&gt;=3,IF(X267&gt;=5,"H","A"),
     IF(Z267&gt;=2,IF(X267&gt;=16,"H",IF(X267&lt;=4,"L","A")),IF(X267&lt;=15,"L","A"))),
     IF(OR(V267="SE",V267="CE"),IF(Z267&gt;=4,IF(X267&gt;=6,"H","A"),IF(Z267&gt;=2,IF(X267&gt;=20,"H",IF(X267&lt;=5,"L","A")),IF(X267&lt;=19,"L","A"))),
     IF(OR(V267="ALI",V267="AIE"),IF(Z267&gt;=6,IF(X267&gt;=20,"H","A"),IF(Z267&gt;=2,IF(X267&gt;=51,"H",IF(X267&lt;=19,"L","A")),IF(X267&lt;=50,"L","A"))))))),
IF('Dados da OS'!$D$8=Parâmetros!$B$6,"Indicativa",
IF('Dados da OS'!$D$8=Parâmetros!$B$5,"PFS","")))</f>
        <v/>
      </c>
      <c r="AF267" s="57">
        <f>IFERROR(VLOOKUP(W267,'Fatores de Impacto e INMs'!$A$3:$D$32,3,0),1)</f>
        <v>1</v>
      </c>
      <c r="AG267" s="57">
        <f>IFERROR(VLOOKUP(W267,'Fatores de Impacto e INMs'!$A$3:$E$32,5,0),1)</f>
        <v>1</v>
      </c>
      <c r="AH267" s="82" t="str">
        <f xml:space="preserve">
IF(OR('Dados da OS'!$D$8="Selecione o tipo da contagem",ISBLANK('Dados da OS'!$D$8),V267="INM",V267="N/A",ISBLANK(V267),ISBLANK(W267),AG267="VF"),"-",
   IF('Dados da OS'!$D$8=Parâmetros!$B$3,
      IF(OR(ISBLANK(X267),ISBLANK(Z267)),"-",
         IF(AE267="L","Baixa",IF(AE267="A","Média",IF(AE267="H","Alta","-")))),
      IF('Dados da OS'!$D$8=Parâmetros!$B$4,
         IF(OR(V267="ALI",V267="AIE"),"Baixa",IF(OR(V267="EE",V267="SE",V267="CE"),"Média","-")),
         IF(OR('Dados da OS'!$D$8=Parâmetros!$B$5,'Dados da OS'!$D$8=Parâmetros!$B$6),"-"))))</f>
        <v>-</v>
      </c>
      <c r="AI267" s="83" t="str">
        <f xml:space="preserve">
IF(OR(ISBLANK(V267),ISBLANK(U267),ISBLANK(W267),V267="N/A",ISBLANK('Dados da OS'!$D$8)),"",
   IF(OR('Dados da OS'!$D$8=Parâmetros!$B$3,'Dados da OS'!$D$8=Parâmetros!$B$4),
      IF(OR(AND(V267="INM",AG267&lt;&gt;"VF"),AND(AG267="VF",V267&lt;&gt;"INM")),"",
        IF(AND(V267="INM",AG267="VF"),IF(ISBLANK(AB267),"",AF267*AB267),
        IF('Dados da OS'!$D$8=Parâmetros!$B$4,
           IF(OR(V267="CE",V267="EE"),4,IF(V267="SE",5,IF(V267="ALI",7,IF(V267="AIE",5,"")))),
        IF('Dados da OS'!$D$8=Parâmetros!$B$3,
           IF(OR(ISBLANK(X267),ISBLANK(Z267)),"",
              IF(V267="ALI",IF(AE267="L",7,IF(AE267="A",10,15)),
                 IF(V267="AIE",IF(AE267="L",5,IF(AE267="A",7,10)),
                    IF(V267="SE",IF(AE267="L",4,IF(AE267="A",5,7)),
                       IF(OR(V267="EE",V267="CE"),IF(AE267="L",3,IF(AE267="A",4,6)),""))))))))),
   IF('Dados da OS'!$D$8=Parâmetros!$B$5,
      IF(OR(AND(V267="INM",AG267&lt;&gt;"VF"),AND(AG267="VF",V267&lt;&gt;"INM")),"",
         IF(V267="INM",IF(AG267="VF",AF267*AB267,""),
            IF(V267="PE",4.6,
            IF(V267="AL",7,"")))),
   IF('Dados da OS'!$D$8=Parâmetros!$B$6,
      IF(V267="ALI",35,IF(V267="AIE",15,"")),""))
    )
)</f>
        <v/>
      </c>
      <c r="AJ267" s="82" t="str">
        <f t="shared" si="34"/>
        <v/>
      </c>
      <c r="AK267" s="84"/>
      <c r="AL267" s="85" t="s">
        <v>21</v>
      </c>
      <c r="AM267" s="86"/>
      <c r="AN267" s="85"/>
      <c r="AO267" s="87"/>
      <c r="AP267" s="85"/>
      <c r="AQ267" s="86"/>
      <c r="AR267" s="85"/>
    </row>
    <row r="268" spans="1:44" ht="15.75" customHeight="1">
      <c r="A268" s="54"/>
      <c r="B268" s="100"/>
      <c r="C268" s="55"/>
      <c r="D268" s="55"/>
      <c r="E268" s="56"/>
      <c r="F268" s="55"/>
      <c r="G268" s="56"/>
      <c r="H268" s="55"/>
      <c r="I268" s="64"/>
      <c r="J268" s="57" t="str">
        <f t="shared" si="29"/>
        <v/>
      </c>
      <c r="K268" s="57" t="str">
        <f t="shared" si="30"/>
        <v/>
      </c>
      <c r="L268" s="57" t="str">
        <f xml:space="preserve">
IF(OR('Dados da OS'!$D$8=Parâmetros!$B$3,'Dados da OS'!$D$8=Parâmetros!$B$4),
  IF(OR(ISBLANK(D268),ISBLANK(F268)),
     IF(OR(B268="ALI",B268="AIE"),"L",IF(ISBLANK(B268),"","A")),
     IF(B268="EE",IF(F268&gt;=3,IF(D268&gt;=5,"H","A"),
     IF(F268&gt;=2,IF(D268&gt;=16,"H",IF(D268&lt;=4,"L","A")),IF(D268&lt;=15,"L","A"))),
     IF(OR(B268="SE",B268="CE"),IF(F268&gt;=4,IF(D268&gt;=6,"H","A"),IF(F268&gt;=2,IF(D268&gt;=20,"H",IF(D268&lt;=5,"L","A")),IF(D268&lt;=19,"L","A"))),
     IF(OR(B268="ALI",B268="AIE"),IF(F268&gt;=6,IF(D268&gt;=20,"H","A"),IF(F268&gt;=2,IF(D268&gt;=51,"H",IF(D268&lt;=19,"L","A")),IF(D268&lt;=50,"L","A"))))))),
IF('Dados da OS'!$D$8=Parâmetros!$B$6,"Indicativa",
IF('Dados da OS'!$D$8=Parâmetros!$B$5,"PFS","")))</f>
        <v/>
      </c>
      <c r="M268" s="57">
        <f>IFERROR(VLOOKUP(C268,'Fatores de Impacto e INMs'!$A$3:$D$32,3,0),1)</f>
        <v>1</v>
      </c>
      <c r="N268" s="57">
        <f>IFERROR(VLOOKUP(C268,'Fatores de Impacto e INMs'!$A$3:$E$32,5,0),1)</f>
        <v>1</v>
      </c>
      <c r="O268" s="63" t="str">
        <f xml:space="preserve">
IF(OR('Dados da OS'!$D$8="Selecione o tipo da contagem",ISBLANK('Dados da OS'!$D$8),B268="INM",B268="N/A",ISBLANK(B268),ISBLANK(C268),N268="VF"),"-",
   IF('Dados da OS'!$D$8=Parâmetros!$B$3,
      IF(OR(ISBLANK(D268),ISBLANK(F268)),"-",
         IF(L268="L","Baixa",IF(L268="A","Média",IF(L268="H","Alta","-")))),
      IF('Dados da OS'!$D$8=Parâmetros!$B$4,
         IF(OR(B268="ALI",B268="AIE"),"Baixa",IF(OR(B268="EE",B268="SE",B268="CE"),"Média","-")),
         IF(OR('Dados da OS'!$D$8=Parâmetros!$B$5,'Dados da OS'!$D$8=Parâmetros!$B$6),"-"))))</f>
        <v>-</v>
      </c>
      <c r="P268" s="59" t="str">
        <f xml:space="preserve">
IF(OR(ISBLANK(B268),ISBLANK(C268),B268="N/A",ISBLANK('Dados da OS'!$D$8)),"",
   IF(OR('Dados da OS'!$D$8=Parâmetros!$B$3,'Dados da OS'!$D$8=Parâmetros!$B$4),
      IF(OR(AND(B268="INM",N268&lt;&gt;"VF"),AND(N268="VF",B268&lt;&gt;"INM")),"",
        IF(AND(B268="INM",N268="VF"),IF(ISBLANK(H268),"",M268*H268),
        IF('Dados da OS'!$D$8=Parâmetros!$B$4,
           IF(OR(B268="CE",B268="EE"),4,IF(B268="SE",5,IF(B268="ALI",7,IF(B268="AIE",5,"")))),
        IF('Dados da OS'!$D$8=Parâmetros!$B$3,
           IF(OR(ISBLANK(D268),ISBLANK(F268)),"",
              IF(B268="ALI",IF(L268="L",7,IF(L268="A",10,15)),
                 IF(B268="AIE",IF(L268="L",5,IF(L268="A",7,10)),
                    IF(B268="SE",IF(L268="L",4,IF(L268="A",5,7)),
                       IF(OR(B268="EE",B268="CE"),IF(L268="L",3,IF(L268="A",4,6)),""))))))))),
   IF('Dados da OS'!$D$8=Parâmetros!$B$5,
      IF(OR(AND(B268="INM",N268&lt;&gt;"VF"),AND(N268="VF",B268&lt;&gt;"INM")),"",
         IF(B268="INM",IF(N268="VF",M268*H268,""),
            IF(B268="PE",4.6,
            IF(B268="AL",7,"")))),
   IF('Dados da OS'!$D$8=Parâmetros!$B$6,
      IF(B268="ALI",35,IF(B268="AIE",15,"")),""))
    )
)</f>
        <v/>
      </c>
      <c r="Q268" s="60" t="str">
        <f t="shared" si="31"/>
        <v/>
      </c>
      <c r="R268" s="61"/>
      <c r="S268" s="62"/>
      <c r="T268" s="80" t="s">
        <v>21</v>
      </c>
      <c r="U268" s="81"/>
      <c r="V268" s="99"/>
      <c r="W268" s="55"/>
      <c r="X268" s="55"/>
      <c r="Y268" s="56"/>
      <c r="Z268" s="55"/>
      <c r="AA268" s="56"/>
      <c r="AB268" s="55"/>
      <c r="AC268" s="57" t="str">
        <f t="shared" si="32"/>
        <v/>
      </c>
      <c r="AD268" s="57" t="str">
        <f t="shared" si="33"/>
        <v/>
      </c>
      <c r="AE268" s="57" t="str">
        <f xml:space="preserve">
IF(OR('Dados da OS'!$D$8=Parâmetros!$B$3,'Dados da OS'!$D$8=Parâmetros!$B$4),
  IF(OR(ISBLANK(X268),ISBLANK(Z268)),
     IF(OR(V268="ALI",V268="AIE"),"L",IF(ISBLANK(V268),"","A")),
     IF(V268="EE",IF(Z268&gt;=3,IF(X268&gt;=5,"H","A"),
     IF(Z268&gt;=2,IF(X268&gt;=16,"H",IF(X268&lt;=4,"L","A")),IF(X268&lt;=15,"L","A"))),
     IF(OR(V268="SE",V268="CE"),IF(Z268&gt;=4,IF(X268&gt;=6,"H","A"),IF(Z268&gt;=2,IF(X268&gt;=20,"H",IF(X268&lt;=5,"L","A")),IF(X268&lt;=19,"L","A"))),
     IF(OR(V268="ALI",V268="AIE"),IF(Z268&gt;=6,IF(X268&gt;=20,"H","A"),IF(Z268&gt;=2,IF(X268&gt;=51,"H",IF(X268&lt;=19,"L","A")),IF(X268&lt;=50,"L","A"))))))),
IF('Dados da OS'!$D$8=Parâmetros!$B$6,"Indicativa",
IF('Dados da OS'!$D$8=Parâmetros!$B$5,"PFS","")))</f>
        <v/>
      </c>
      <c r="AF268" s="57">
        <f>IFERROR(VLOOKUP(W268,'Fatores de Impacto e INMs'!$A$3:$D$32,3,0),1)</f>
        <v>1</v>
      </c>
      <c r="AG268" s="57">
        <f>IFERROR(VLOOKUP(W268,'Fatores de Impacto e INMs'!$A$3:$E$32,5,0),1)</f>
        <v>1</v>
      </c>
      <c r="AH268" s="82" t="str">
        <f xml:space="preserve">
IF(OR('Dados da OS'!$D$8="Selecione o tipo da contagem",ISBLANK('Dados da OS'!$D$8),V268="INM",V268="N/A",ISBLANK(V268),ISBLANK(W268),AG268="VF"),"-",
   IF('Dados da OS'!$D$8=Parâmetros!$B$3,
      IF(OR(ISBLANK(X268),ISBLANK(Z268)),"-",
         IF(AE268="L","Baixa",IF(AE268="A","Média",IF(AE268="H","Alta","-")))),
      IF('Dados da OS'!$D$8=Parâmetros!$B$4,
         IF(OR(V268="ALI",V268="AIE"),"Baixa",IF(OR(V268="EE",V268="SE",V268="CE"),"Média","-")),
         IF(OR('Dados da OS'!$D$8=Parâmetros!$B$5,'Dados da OS'!$D$8=Parâmetros!$B$6),"-"))))</f>
        <v>-</v>
      </c>
      <c r="AI268" s="83" t="str">
        <f xml:space="preserve">
IF(OR(ISBLANK(V268),ISBLANK(U268),ISBLANK(W268),V268="N/A",ISBLANK('Dados da OS'!$D$8)),"",
   IF(OR('Dados da OS'!$D$8=Parâmetros!$B$3,'Dados da OS'!$D$8=Parâmetros!$B$4),
      IF(OR(AND(V268="INM",AG268&lt;&gt;"VF"),AND(AG268="VF",V268&lt;&gt;"INM")),"",
        IF(AND(V268="INM",AG268="VF"),IF(ISBLANK(AB268),"",AF268*AB268),
        IF('Dados da OS'!$D$8=Parâmetros!$B$4,
           IF(OR(V268="CE",V268="EE"),4,IF(V268="SE",5,IF(V268="ALI",7,IF(V268="AIE",5,"")))),
        IF('Dados da OS'!$D$8=Parâmetros!$B$3,
           IF(OR(ISBLANK(X268),ISBLANK(Z268)),"",
              IF(V268="ALI",IF(AE268="L",7,IF(AE268="A",10,15)),
                 IF(V268="AIE",IF(AE268="L",5,IF(AE268="A",7,10)),
                    IF(V268="SE",IF(AE268="L",4,IF(AE268="A",5,7)),
                       IF(OR(V268="EE",V268="CE"),IF(AE268="L",3,IF(AE268="A",4,6)),""))))))))),
   IF('Dados da OS'!$D$8=Parâmetros!$B$5,
      IF(OR(AND(V268="INM",AG268&lt;&gt;"VF"),AND(AG268="VF",V268&lt;&gt;"INM")),"",
         IF(V268="INM",IF(AG268="VF",AF268*AB268,""),
            IF(V268="PE",4.6,
            IF(V268="AL",7,"")))),
   IF('Dados da OS'!$D$8=Parâmetros!$B$6,
      IF(V268="ALI",35,IF(V268="AIE",15,"")),""))
    )
)</f>
        <v/>
      </c>
      <c r="AJ268" s="82" t="str">
        <f t="shared" si="34"/>
        <v/>
      </c>
      <c r="AK268" s="84"/>
      <c r="AL268" s="85" t="s">
        <v>21</v>
      </c>
      <c r="AM268" s="86"/>
      <c r="AN268" s="85"/>
      <c r="AO268" s="87"/>
      <c r="AP268" s="85"/>
      <c r="AQ268" s="86"/>
      <c r="AR268" s="85"/>
    </row>
    <row r="269" spans="1:44" ht="15.75" customHeight="1">
      <c r="A269" s="54"/>
      <c r="B269" s="100"/>
      <c r="C269" s="55"/>
      <c r="D269" s="55"/>
      <c r="E269" s="56"/>
      <c r="F269" s="55"/>
      <c r="G269" s="56"/>
      <c r="H269" s="55"/>
      <c r="I269" s="64"/>
      <c r="J269" s="57" t="str">
        <f t="shared" si="29"/>
        <v/>
      </c>
      <c r="K269" s="57" t="str">
        <f t="shared" si="30"/>
        <v/>
      </c>
      <c r="L269" s="57" t="str">
        <f xml:space="preserve">
IF(OR('Dados da OS'!$D$8=Parâmetros!$B$3,'Dados da OS'!$D$8=Parâmetros!$B$4),
  IF(OR(ISBLANK(D269),ISBLANK(F269)),
     IF(OR(B269="ALI",B269="AIE"),"L",IF(ISBLANK(B269),"","A")),
     IF(B269="EE",IF(F269&gt;=3,IF(D269&gt;=5,"H","A"),
     IF(F269&gt;=2,IF(D269&gt;=16,"H",IF(D269&lt;=4,"L","A")),IF(D269&lt;=15,"L","A"))),
     IF(OR(B269="SE",B269="CE"),IF(F269&gt;=4,IF(D269&gt;=6,"H","A"),IF(F269&gt;=2,IF(D269&gt;=20,"H",IF(D269&lt;=5,"L","A")),IF(D269&lt;=19,"L","A"))),
     IF(OR(B269="ALI",B269="AIE"),IF(F269&gt;=6,IF(D269&gt;=20,"H","A"),IF(F269&gt;=2,IF(D269&gt;=51,"H",IF(D269&lt;=19,"L","A")),IF(D269&lt;=50,"L","A"))))))),
IF('Dados da OS'!$D$8=Parâmetros!$B$6,"Indicativa",
IF('Dados da OS'!$D$8=Parâmetros!$B$5,"PFS","")))</f>
        <v/>
      </c>
      <c r="M269" s="57">
        <f>IFERROR(VLOOKUP(C269,'Fatores de Impacto e INMs'!$A$3:$D$32,3,0),1)</f>
        <v>1</v>
      </c>
      <c r="N269" s="57">
        <f>IFERROR(VLOOKUP(C269,'Fatores de Impacto e INMs'!$A$3:$E$32,5,0),1)</f>
        <v>1</v>
      </c>
      <c r="O269" s="63" t="str">
        <f xml:space="preserve">
IF(OR('Dados da OS'!$D$8="Selecione o tipo da contagem",ISBLANK('Dados da OS'!$D$8),B269="INM",B269="N/A",ISBLANK(B269),ISBLANK(C269),N269="VF"),"-",
   IF('Dados da OS'!$D$8=Parâmetros!$B$3,
      IF(OR(ISBLANK(D269),ISBLANK(F269)),"-",
         IF(L269="L","Baixa",IF(L269="A","Média",IF(L269="H","Alta","-")))),
      IF('Dados da OS'!$D$8=Parâmetros!$B$4,
         IF(OR(B269="ALI",B269="AIE"),"Baixa",IF(OR(B269="EE",B269="SE",B269="CE"),"Média","-")),
         IF(OR('Dados da OS'!$D$8=Parâmetros!$B$5,'Dados da OS'!$D$8=Parâmetros!$B$6),"-"))))</f>
        <v>-</v>
      </c>
      <c r="P269" s="59" t="str">
        <f xml:space="preserve">
IF(OR(ISBLANK(B269),ISBLANK(C269),B269="N/A",ISBLANK('Dados da OS'!$D$8)),"",
   IF(OR('Dados da OS'!$D$8=Parâmetros!$B$3,'Dados da OS'!$D$8=Parâmetros!$B$4),
      IF(OR(AND(B269="INM",N269&lt;&gt;"VF"),AND(N269="VF",B269&lt;&gt;"INM")),"",
        IF(AND(B269="INM",N269="VF"),IF(ISBLANK(H269),"",M269*H269),
        IF('Dados da OS'!$D$8=Parâmetros!$B$4,
           IF(OR(B269="CE",B269="EE"),4,IF(B269="SE",5,IF(B269="ALI",7,IF(B269="AIE",5,"")))),
        IF('Dados da OS'!$D$8=Parâmetros!$B$3,
           IF(OR(ISBLANK(D269),ISBLANK(F269)),"",
              IF(B269="ALI",IF(L269="L",7,IF(L269="A",10,15)),
                 IF(B269="AIE",IF(L269="L",5,IF(L269="A",7,10)),
                    IF(B269="SE",IF(L269="L",4,IF(L269="A",5,7)),
                       IF(OR(B269="EE",B269="CE"),IF(L269="L",3,IF(L269="A",4,6)),""))))))))),
   IF('Dados da OS'!$D$8=Parâmetros!$B$5,
      IF(OR(AND(B269="INM",N269&lt;&gt;"VF"),AND(N269="VF",B269&lt;&gt;"INM")),"",
         IF(B269="INM",IF(N269="VF",M269*H269,""),
            IF(B269="PE",4.6,
            IF(B269="AL",7,"")))),
   IF('Dados da OS'!$D$8=Parâmetros!$B$6,
      IF(B269="ALI",35,IF(B269="AIE",15,"")),""))
    )
)</f>
        <v/>
      </c>
      <c r="Q269" s="60" t="str">
        <f t="shared" si="31"/>
        <v/>
      </c>
      <c r="R269" s="61"/>
      <c r="S269" s="62"/>
      <c r="T269" s="80" t="s">
        <v>21</v>
      </c>
      <c r="U269" s="81"/>
      <c r="V269" s="99"/>
      <c r="W269" s="55"/>
      <c r="X269" s="55"/>
      <c r="Y269" s="56"/>
      <c r="Z269" s="55"/>
      <c r="AA269" s="56"/>
      <c r="AB269" s="55"/>
      <c r="AC269" s="57" t="str">
        <f t="shared" si="32"/>
        <v/>
      </c>
      <c r="AD269" s="57" t="str">
        <f t="shared" si="33"/>
        <v/>
      </c>
      <c r="AE269" s="57" t="str">
        <f xml:space="preserve">
IF(OR('Dados da OS'!$D$8=Parâmetros!$B$3,'Dados da OS'!$D$8=Parâmetros!$B$4),
  IF(OR(ISBLANK(X269),ISBLANK(Z269)),
     IF(OR(V269="ALI",V269="AIE"),"L",IF(ISBLANK(V269),"","A")),
     IF(V269="EE",IF(Z269&gt;=3,IF(X269&gt;=5,"H","A"),
     IF(Z269&gt;=2,IF(X269&gt;=16,"H",IF(X269&lt;=4,"L","A")),IF(X269&lt;=15,"L","A"))),
     IF(OR(V269="SE",V269="CE"),IF(Z269&gt;=4,IF(X269&gt;=6,"H","A"),IF(Z269&gt;=2,IF(X269&gt;=20,"H",IF(X269&lt;=5,"L","A")),IF(X269&lt;=19,"L","A"))),
     IF(OR(V269="ALI",V269="AIE"),IF(Z269&gt;=6,IF(X269&gt;=20,"H","A"),IF(Z269&gt;=2,IF(X269&gt;=51,"H",IF(X269&lt;=19,"L","A")),IF(X269&lt;=50,"L","A"))))))),
IF('Dados da OS'!$D$8=Parâmetros!$B$6,"Indicativa",
IF('Dados da OS'!$D$8=Parâmetros!$B$5,"PFS","")))</f>
        <v/>
      </c>
      <c r="AF269" s="57">
        <f>IFERROR(VLOOKUP(W269,'Fatores de Impacto e INMs'!$A$3:$D$32,3,0),1)</f>
        <v>1</v>
      </c>
      <c r="AG269" s="57">
        <f>IFERROR(VLOOKUP(W269,'Fatores de Impacto e INMs'!$A$3:$E$32,5,0),1)</f>
        <v>1</v>
      </c>
      <c r="AH269" s="82" t="str">
        <f xml:space="preserve">
IF(OR('Dados da OS'!$D$8="Selecione o tipo da contagem",ISBLANK('Dados da OS'!$D$8),V269="INM",V269="N/A",ISBLANK(V269),ISBLANK(W269),AG269="VF"),"-",
   IF('Dados da OS'!$D$8=Parâmetros!$B$3,
      IF(OR(ISBLANK(X269),ISBLANK(Z269)),"-",
         IF(AE269="L","Baixa",IF(AE269="A","Média",IF(AE269="H","Alta","-")))),
      IF('Dados da OS'!$D$8=Parâmetros!$B$4,
         IF(OR(V269="ALI",V269="AIE"),"Baixa",IF(OR(V269="EE",V269="SE",V269="CE"),"Média","-")),
         IF(OR('Dados da OS'!$D$8=Parâmetros!$B$5,'Dados da OS'!$D$8=Parâmetros!$B$6),"-"))))</f>
        <v>-</v>
      </c>
      <c r="AI269" s="83" t="str">
        <f xml:space="preserve">
IF(OR(ISBLANK(V269),ISBLANK(U269),ISBLANK(W269),V269="N/A",ISBLANK('Dados da OS'!$D$8)),"",
   IF(OR('Dados da OS'!$D$8=Parâmetros!$B$3,'Dados da OS'!$D$8=Parâmetros!$B$4),
      IF(OR(AND(V269="INM",AG269&lt;&gt;"VF"),AND(AG269="VF",V269&lt;&gt;"INM")),"",
        IF(AND(V269="INM",AG269="VF"),IF(ISBLANK(AB269),"",AF269*AB269),
        IF('Dados da OS'!$D$8=Parâmetros!$B$4,
           IF(OR(V269="CE",V269="EE"),4,IF(V269="SE",5,IF(V269="ALI",7,IF(V269="AIE",5,"")))),
        IF('Dados da OS'!$D$8=Parâmetros!$B$3,
           IF(OR(ISBLANK(X269),ISBLANK(Z269)),"",
              IF(V269="ALI",IF(AE269="L",7,IF(AE269="A",10,15)),
                 IF(V269="AIE",IF(AE269="L",5,IF(AE269="A",7,10)),
                    IF(V269="SE",IF(AE269="L",4,IF(AE269="A",5,7)),
                       IF(OR(V269="EE",V269="CE"),IF(AE269="L",3,IF(AE269="A",4,6)),""))))))))),
   IF('Dados da OS'!$D$8=Parâmetros!$B$5,
      IF(OR(AND(V269="INM",AG269&lt;&gt;"VF"),AND(AG269="VF",V269&lt;&gt;"INM")),"",
         IF(V269="INM",IF(AG269="VF",AF269*AB269,""),
            IF(V269="PE",4.6,
            IF(V269="AL",7,"")))),
   IF('Dados da OS'!$D$8=Parâmetros!$B$6,
      IF(V269="ALI",35,IF(V269="AIE",15,"")),""))
    )
)</f>
        <v/>
      </c>
      <c r="AJ269" s="82" t="str">
        <f t="shared" si="34"/>
        <v/>
      </c>
      <c r="AK269" s="84"/>
      <c r="AL269" s="85" t="s">
        <v>21</v>
      </c>
      <c r="AM269" s="86"/>
      <c r="AN269" s="85"/>
      <c r="AO269" s="87"/>
      <c r="AP269" s="85"/>
      <c r="AQ269" s="86"/>
      <c r="AR269" s="85"/>
    </row>
    <row r="270" spans="1:44" ht="15.75" customHeight="1">
      <c r="A270" s="54"/>
      <c r="B270" s="100"/>
      <c r="C270" s="55"/>
      <c r="D270" s="55"/>
      <c r="E270" s="56"/>
      <c r="F270" s="55"/>
      <c r="G270" s="56"/>
      <c r="H270" s="55"/>
      <c r="I270" s="64"/>
      <c r="J270" s="57" t="str">
        <f t="shared" si="29"/>
        <v/>
      </c>
      <c r="K270" s="57" t="str">
        <f t="shared" si="30"/>
        <v/>
      </c>
      <c r="L270" s="57" t="str">
        <f xml:space="preserve">
IF(OR('Dados da OS'!$D$8=Parâmetros!$B$3,'Dados da OS'!$D$8=Parâmetros!$B$4),
  IF(OR(ISBLANK(D270),ISBLANK(F270)),
     IF(OR(B270="ALI",B270="AIE"),"L",IF(ISBLANK(B270),"","A")),
     IF(B270="EE",IF(F270&gt;=3,IF(D270&gt;=5,"H","A"),
     IF(F270&gt;=2,IF(D270&gt;=16,"H",IF(D270&lt;=4,"L","A")),IF(D270&lt;=15,"L","A"))),
     IF(OR(B270="SE",B270="CE"),IF(F270&gt;=4,IF(D270&gt;=6,"H","A"),IF(F270&gt;=2,IF(D270&gt;=20,"H",IF(D270&lt;=5,"L","A")),IF(D270&lt;=19,"L","A"))),
     IF(OR(B270="ALI",B270="AIE"),IF(F270&gt;=6,IF(D270&gt;=20,"H","A"),IF(F270&gt;=2,IF(D270&gt;=51,"H",IF(D270&lt;=19,"L","A")),IF(D270&lt;=50,"L","A"))))))),
IF('Dados da OS'!$D$8=Parâmetros!$B$6,"Indicativa",
IF('Dados da OS'!$D$8=Parâmetros!$B$5,"PFS","")))</f>
        <v/>
      </c>
      <c r="M270" s="57">
        <f>IFERROR(VLOOKUP(C270,'Fatores de Impacto e INMs'!$A$3:$D$32,3,0),1)</f>
        <v>1</v>
      </c>
      <c r="N270" s="57">
        <f>IFERROR(VLOOKUP(C270,'Fatores de Impacto e INMs'!$A$3:$E$32,5,0),1)</f>
        <v>1</v>
      </c>
      <c r="O270" s="63" t="str">
        <f xml:space="preserve">
IF(OR('Dados da OS'!$D$8="Selecione o tipo da contagem",ISBLANK('Dados da OS'!$D$8),B270="INM",B270="N/A",ISBLANK(B270),ISBLANK(C270),N270="VF"),"-",
   IF('Dados da OS'!$D$8=Parâmetros!$B$3,
      IF(OR(ISBLANK(D270),ISBLANK(F270)),"-",
         IF(L270="L","Baixa",IF(L270="A","Média",IF(L270="H","Alta","-")))),
      IF('Dados da OS'!$D$8=Parâmetros!$B$4,
         IF(OR(B270="ALI",B270="AIE"),"Baixa",IF(OR(B270="EE",B270="SE",B270="CE"),"Média","-")),
         IF(OR('Dados da OS'!$D$8=Parâmetros!$B$5,'Dados da OS'!$D$8=Parâmetros!$B$6),"-"))))</f>
        <v>-</v>
      </c>
      <c r="P270" s="59" t="str">
        <f xml:space="preserve">
IF(OR(ISBLANK(B270),ISBLANK(C270),B270="N/A",ISBLANK('Dados da OS'!$D$8)),"",
   IF(OR('Dados da OS'!$D$8=Parâmetros!$B$3,'Dados da OS'!$D$8=Parâmetros!$B$4),
      IF(OR(AND(B270="INM",N270&lt;&gt;"VF"),AND(N270="VF",B270&lt;&gt;"INM")),"",
        IF(AND(B270="INM",N270="VF"),IF(ISBLANK(H270),"",M270*H270),
        IF('Dados da OS'!$D$8=Parâmetros!$B$4,
           IF(OR(B270="CE",B270="EE"),4,IF(B270="SE",5,IF(B270="ALI",7,IF(B270="AIE",5,"")))),
        IF('Dados da OS'!$D$8=Parâmetros!$B$3,
           IF(OR(ISBLANK(D270),ISBLANK(F270)),"",
              IF(B270="ALI",IF(L270="L",7,IF(L270="A",10,15)),
                 IF(B270="AIE",IF(L270="L",5,IF(L270="A",7,10)),
                    IF(B270="SE",IF(L270="L",4,IF(L270="A",5,7)),
                       IF(OR(B270="EE",B270="CE"),IF(L270="L",3,IF(L270="A",4,6)),""))))))))),
   IF('Dados da OS'!$D$8=Parâmetros!$B$5,
      IF(OR(AND(B270="INM",N270&lt;&gt;"VF"),AND(N270="VF",B270&lt;&gt;"INM")),"",
         IF(B270="INM",IF(N270="VF",M270*H270,""),
            IF(B270="PE",4.6,
            IF(B270="AL",7,"")))),
   IF('Dados da OS'!$D$8=Parâmetros!$B$6,
      IF(B270="ALI",35,IF(B270="AIE",15,"")),""))
    )
)</f>
        <v/>
      </c>
      <c r="Q270" s="60" t="str">
        <f t="shared" si="31"/>
        <v/>
      </c>
      <c r="R270" s="61"/>
      <c r="S270" s="62"/>
      <c r="T270" s="80" t="s">
        <v>21</v>
      </c>
      <c r="U270" s="81"/>
      <c r="V270" s="99"/>
      <c r="W270" s="55"/>
      <c r="X270" s="55"/>
      <c r="Y270" s="56"/>
      <c r="Z270" s="55"/>
      <c r="AA270" s="56"/>
      <c r="AB270" s="55"/>
      <c r="AC270" s="57" t="str">
        <f t="shared" si="32"/>
        <v/>
      </c>
      <c r="AD270" s="57" t="str">
        <f t="shared" si="33"/>
        <v/>
      </c>
      <c r="AE270" s="57" t="str">
        <f xml:space="preserve">
IF(OR('Dados da OS'!$D$8=Parâmetros!$B$3,'Dados da OS'!$D$8=Parâmetros!$B$4),
  IF(OR(ISBLANK(X270),ISBLANK(Z270)),
     IF(OR(V270="ALI",V270="AIE"),"L",IF(ISBLANK(V270),"","A")),
     IF(V270="EE",IF(Z270&gt;=3,IF(X270&gt;=5,"H","A"),
     IF(Z270&gt;=2,IF(X270&gt;=16,"H",IF(X270&lt;=4,"L","A")),IF(X270&lt;=15,"L","A"))),
     IF(OR(V270="SE",V270="CE"),IF(Z270&gt;=4,IF(X270&gt;=6,"H","A"),IF(Z270&gt;=2,IF(X270&gt;=20,"H",IF(X270&lt;=5,"L","A")),IF(X270&lt;=19,"L","A"))),
     IF(OR(V270="ALI",V270="AIE"),IF(Z270&gt;=6,IF(X270&gt;=20,"H","A"),IF(Z270&gt;=2,IF(X270&gt;=51,"H",IF(X270&lt;=19,"L","A")),IF(X270&lt;=50,"L","A"))))))),
IF('Dados da OS'!$D$8=Parâmetros!$B$6,"Indicativa",
IF('Dados da OS'!$D$8=Parâmetros!$B$5,"PFS","")))</f>
        <v/>
      </c>
      <c r="AF270" s="57">
        <f>IFERROR(VLOOKUP(W270,'Fatores de Impacto e INMs'!$A$3:$D$32,3,0),1)</f>
        <v>1</v>
      </c>
      <c r="AG270" s="57">
        <f>IFERROR(VLOOKUP(W270,'Fatores de Impacto e INMs'!$A$3:$E$32,5,0),1)</f>
        <v>1</v>
      </c>
      <c r="AH270" s="82" t="str">
        <f xml:space="preserve">
IF(OR('Dados da OS'!$D$8="Selecione o tipo da contagem",ISBLANK('Dados da OS'!$D$8),V270="INM",V270="N/A",ISBLANK(V270),ISBLANK(W270),AG270="VF"),"-",
   IF('Dados da OS'!$D$8=Parâmetros!$B$3,
      IF(OR(ISBLANK(X270),ISBLANK(Z270)),"-",
         IF(AE270="L","Baixa",IF(AE270="A","Média",IF(AE270="H","Alta","-")))),
      IF('Dados da OS'!$D$8=Parâmetros!$B$4,
         IF(OR(V270="ALI",V270="AIE"),"Baixa",IF(OR(V270="EE",V270="SE",V270="CE"),"Média","-")),
         IF(OR('Dados da OS'!$D$8=Parâmetros!$B$5,'Dados da OS'!$D$8=Parâmetros!$B$6),"-"))))</f>
        <v>-</v>
      </c>
      <c r="AI270" s="83" t="str">
        <f xml:space="preserve">
IF(OR(ISBLANK(V270),ISBLANK(U270),ISBLANK(W270),V270="N/A",ISBLANK('Dados da OS'!$D$8)),"",
   IF(OR('Dados da OS'!$D$8=Parâmetros!$B$3,'Dados da OS'!$D$8=Parâmetros!$B$4),
      IF(OR(AND(V270="INM",AG270&lt;&gt;"VF"),AND(AG270="VF",V270&lt;&gt;"INM")),"",
        IF(AND(V270="INM",AG270="VF"),IF(ISBLANK(AB270),"",AF270*AB270),
        IF('Dados da OS'!$D$8=Parâmetros!$B$4,
           IF(OR(V270="CE",V270="EE"),4,IF(V270="SE",5,IF(V270="ALI",7,IF(V270="AIE",5,"")))),
        IF('Dados da OS'!$D$8=Parâmetros!$B$3,
           IF(OR(ISBLANK(X270),ISBLANK(Z270)),"",
              IF(V270="ALI",IF(AE270="L",7,IF(AE270="A",10,15)),
                 IF(V270="AIE",IF(AE270="L",5,IF(AE270="A",7,10)),
                    IF(V270="SE",IF(AE270="L",4,IF(AE270="A",5,7)),
                       IF(OR(V270="EE",V270="CE"),IF(AE270="L",3,IF(AE270="A",4,6)),""))))))))),
   IF('Dados da OS'!$D$8=Parâmetros!$B$5,
      IF(OR(AND(V270="INM",AG270&lt;&gt;"VF"),AND(AG270="VF",V270&lt;&gt;"INM")),"",
         IF(V270="INM",IF(AG270="VF",AF270*AB270,""),
            IF(V270="PE",4.6,
            IF(V270="AL",7,"")))),
   IF('Dados da OS'!$D$8=Parâmetros!$B$6,
      IF(V270="ALI",35,IF(V270="AIE",15,"")),""))
    )
)</f>
        <v/>
      </c>
      <c r="AJ270" s="82" t="str">
        <f t="shared" si="34"/>
        <v/>
      </c>
      <c r="AK270" s="84"/>
      <c r="AL270" s="85" t="s">
        <v>21</v>
      </c>
      <c r="AM270" s="86"/>
      <c r="AN270" s="85"/>
      <c r="AO270" s="87"/>
      <c r="AP270" s="85"/>
      <c r="AQ270" s="86"/>
      <c r="AR270" s="85"/>
    </row>
    <row r="271" spans="1:44" ht="15.75" customHeight="1">
      <c r="A271" s="54"/>
      <c r="B271" s="100"/>
      <c r="C271" s="55"/>
      <c r="D271" s="55"/>
      <c r="E271" s="56"/>
      <c r="F271" s="55"/>
      <c r="G271" s="56"/>
      <c r="H271" s="55"/>
      <c r="I271" s="64"/>
      <c r="J271" s="57" t="str">
        <f t="shared" si="29"/>
        <v/>
      </c>
      <c r="K271" s="57" t="str">
        <f t="shared" si="30"/>
        <v/>
      </c>
      <c r="L271" s="57" t="str">
        <f xml:space="preserve">
IF(OR('Dados da OS'!$D$8=Parâmetros!$B$3,'Dados da OS'!$D$8=Parâmetros!$B$4),
  IF(OR(ISBLANK(D271),ISBLANK(F271)),
     IF(OR(B271="ALI",B271="AIE"),"L",IF(ISBLANK(B271),"","A")),
     IF(B271="EE",IF(F271&gt;=3,IF(D271&gt;=5,"H","A"),
     IF(F271&gt;=2,IF(D271&gt;=16,"H",IF(D271&lt;=4,"L","A")),IF(D271&lt;=15,"L","A"))),
     IF(OR(B271="SE",B271="CE"),IF(F271&gt;=4,IF(D271&gt;=6,"H","A"),IF(F271&gt;=2,IF(D271&gt;=20,"H",IF(D271&lt;=5,"L","A")),IF(D271&lt;=19,"L","A"))),
     IF(OR(B271="ALI",B271="AIE"),IF(F271&gt;=6,IF(D271&gt;=20,"H","A"),IF(F271&gt;=2,IF(D271&gt;=51,"H",IF(D271&lt;=19,"L","A")),IF(D271&lt;=50,"L","A"))))))),
IF('Dados da OS'!$D$8=Parâmetros!$B$6,"Indicativa",
IF('Dados da OS'!$D$8=Parâmetros!$B$5,"PFS","")))</f>
        <v/>
      </c>
      <c r="M271" s="57">
        <f>IFERROR(VLOOKUP(C271,'Fatores de Impacto e INMs'!$A$3:$D$32,3,0),1)</f>
        <v>1</v>
      </c>
      <c r="N271" s="57">
        <f>IFERROR(VLOOKUP(C271,'Fatores de Impacto e INMs'!$A$3:$E$32,5,0),1)</f>
        <v>1</v>
      </c>
      <c r="O271" s="63" t="str">
        <f xml:space="preserve">
IF(OR('Dados da OS'!$D$8="Selecione o tipo da contagem",ISBLANK('Dados da OS'!$D$8),B271="INM",B271="N/A",ISBLANK(B271),ISBLANK(C271),N271="VF"),"-",
   IF('Dados da OS'!$D$8=Parâmetros!$B$3,
      IF(OR(ISBLANK(D271),ISBLANK(F271)),"-",
         IF(L271="L","Baixa",IF(L271="A","Média",IF(L271="H","Alta","-")))),
      IF('Dados da OS'!$D$8=Parâmetros!$B$4,
         IF(OR(B271="ALI",B271="AIE"),"Baixa",IF(OR(B271="EE",B271="SE",B271="CE"),"Média","-")),
         IF(OR('Dados da OS'!$D$8=Parâmetros!$B$5,'Dados da OS'!$D$8=Parâmetros!$B$6),"-"))))</f>
        <v>-</v>
      </c>
      <c r="P271" s="59" t="str">
        <f xml:space="preserve">
IF(OR(ISBLANK(B271),ISBLANK(C271),B271="N/A",ISBLANK('Dados da OS'!$D$8)),"",
   IF(OR('Dados da OS'!$D$8=Parâmetros!$B$3,'Dados da OS'!$D$8=Parâmetros!$B$4),
      IF(OR(AND(B271="INM",N271&lt;&gt;"VF"),AND(N271="VF",B271&lt;&gt;"INM")),"",
        IF(AND(B271="INM",N271="VF"),IF(ISBLANK(H271),"",M271*H271),
        IF('Dados da OS'!$D$8=Parâmetros!$B$4,
           IF(OR(B271="CE",B271="EE"),4,IF(B271="SE",5,IF(B271="ALI",7,IF(B271="AIE",5,"")))),
        IF('Dados da OS'!$D$8=Parâmetros!$B$3,
           IF(OR(ISBLANK(D271),ISBLANK(F271)),"",
              IF(B271="ALI",IF(L271="L",7,IF(L271="A",10,15)),
                 IF(B271="AIE",IF(L271="L",5,IF(L271="A",7,10)),
                    IF(B271="SE",IF(L271="L",4,IF(L271="A",5,7)),
                       IF(OR(B271="EE",B271="CE"),IF(L271="L",3,IF(L271="A",4,6)),""))))))))),
   IF('Dados da OS'!$D$8=Parâmetros!$B$5,
      IF(OR(AND(B271="INM",N271&lt;&gt;"VF"),AND(N271="VF",B271&lt;&gt;"INM")),"",
         IF(B271="INM",IF(N271="VF",M271*H271,""),
            IF(B271="PE",4.6,
            IF(B271="AL",7,"")))),
   IF('Dados da OS'!$D$8=Parâmetros!$B$6,
      IF(B271="ALI",35,IF(B271="AIE",15,"")),""))
    )
)</f>
        <v/>
      </c>
      <c r="Q271" s="60" t="str">
        <f t="shared" si="31"/>
        <v/>
      </c>
      <c r="R271" s="61"/>
      <c r="S271" s="62"/>
      <c r="T271" s="80" t="s">
        <v>21</v>
      </c>
      <c r="U271" s="81"/>
      <c r="V271" s="99"/>
      <c r="W271" s="55"/>
      <c r="X271" s="55"/>
      <c r="Y271" s="56"/>
      <c r="Z271" s="55"/>
      <c r="AA271" s="56"/>
      <c r="AB271" s="55"/>
      <c r="AC271" s="57" t="str">
        <f t="shared" si="32"/>
        <v/>
      </c>
      <c r="AD271" s="57" t="str">
        <f t="shared" si="33"/>
        <v/>
      </c>
      <c r="AE271" s="57" t="str">
        <f xml:space="preserve">
IF(OR('Dados da OS'!$D$8=Parâmetros!$B$3,'Dados da OS'!$D$8=Parâmetros!$B$4),
  IF(OR(ISBLANK(X271),ISBLANK(Z271)),
     IF(OR(V271="ALI",V271="AIE"),"L",IF(ISBLANK(V271),"","A")),
     IF(V271="EE",IF(Z271&gt;=3,IF(X271&gt;=5,"H","A"),
     IF(Z271&gt;=2,IF(X271&gt;=16,"H",IF(X271&lt;=4,"L","A")),IF(X271&lt;=15,"L","A"))),
     IF(OR(V271="SE",V271="CE"),IF(Z271&gt;=4,IF(X271&gt;=6,"H","A"),IF(Z271&gt;=2,IF(X271&gt;=20,"H",IF(X271&lt;=5,"L","A")),IF(X271&lt;=19,"L","A"))),
     IF(OR(V271="ALI",V271="AIE"),IF(Z271&gt;=6,IF(X271&gt;=20,"H","A"),IF(Z271&gt;=2,IF(X271&gt;=51,"H",IF(X271&lt;=19,"L","A")),IF(X271&lt;=50,"L","A"))))))),
IF('Dados da OS'!$D$8=Parâmetros!$B$6,"Indicativa",
IF('Dados da OS'!$D$8=Parâmetros!$B$5,"PFS","")))</f>
        <v/>
      </c>
      <c r="AF271" s="57">
        <f>IFERROR(VLOOKUP(W271,'Fatores de Impacto e INMs'!$A$3:$D$32,3,0),1)</f>
        <v>1</v>
      </c>
      <c r="AG271" s="57">
        <f>IFERROR(VLOOKUP(W271,'Fatores de Impacto e INMs'!$A$3:$E$32,5,0),1)</f>
        <v>1</v>
      </c>
      <c r="AH271" s="82" t="str">
        <f xml:space="preserve">
IF(OR('Dados da OS'!$D$8="Selecione o tipo da contagem",ISBLANK('Dados da OS'!$D$8),V271="INM",V271="N/A",ISBLANK(V271),ISBLANK(W271),AG271="VF"),"-",
   IF('Dados da OS'!$D$8=Parâmetros!$B$3,
      IF(OR(ISBLANK(X271),ISBLANK(Z271)),"-",
         IF(AE271="L","Baixa",IF(AE271="A","Média",IF(AE271="H","Alta","-")))),
      IF('Dados da OS'!$D$8=Parâmetros!$B$4,
         IF(OR(V271="ALI",V271="AIE"),"Baixa",IF(OR(V271="EE",V271="SE",V271="CE"),"Média","-")),
         IF(OR('Dados da OS'!$D$8=Parâmetros!$B$5,'Dados da OS'!$D$8=Parâmetros!$B$6),"-"))))</f>
        <v>-</v>
      </c>
      <c r="AI271" s="83" t="str">
        <f xml:space="preserve">
IF(OR(ISBLANK(V271),ISBLANK(U271),ISBLANK(W271),V271="N/A",ISBLANK('Dados da OS'!$D$8)),"",
   IF(OR('Dados da OS'!$D$8=Parâmetros!$B$3,'Dados da OS'!$D$8=Parâmetros!$B$4),
      IF(OR(AND(V271="INM",AG271&lt;&gt;"VF"),AND(AG271="VF",V271&lt;&gt;"INM")),"",
        IF(AND(V271="INM",AG271="VF"),IF(ISBLANK(AB271),"",AF271*AB271),
        IF('Dados da OS'!$D$8=Parâmetros!$B$4,
           IF(OR(V271="CE",V271="EE"),4,IF(V271="SE",5,IF(V271="ALI",7,IF(V271="AIE",5,"")))),
        IF('Dados da OS'!$D$8=Parâmetros!$B$3,
           IF(OR(ISBLANK(X271),ISBLANK(Z271)),"",
              IF(V271="ALI",IF(AE271="L",7,IF(AE271="A",10,15)),
                 IF(V271="AIE",IF(AE271="L",5,IF(AE271="A",7,10)),
                    IF(V271="SE",IF(AE271="L",4,IF(AE271="A",5,7)),
                       IF(OR(V271="EE",V271="CE"),IF(AE271="L",3,IF(AE271="A",4,6)),""))))))))),
   IF('Dados da OS'!$D$8=Parâmetros!$B$5,
      IF(OR(AND(V271="INM",AG271&lt;&gt;"VF"),AND(AG271="VF",V271&lt;&gt;"INM")),"",
         IF(V271="INM",IF(AG271="VF",AF271*AB271,""),
            IF(V271="PE",4.6,
            IF(V271="AL",7,"")))),
   IF('Dados da OS'!$D$8=Parâmetros!$B$6,
      IF(V271="ALI",35,IF(V271="AIE",15,"")),""))
    )
)</f>
        <v/>
      </c>
      <c r="AJ271" s="82" t="str">
        <f t="shared" si="34"/>
        <v/>
      </c>
      <c r="AK271" s="84"/>
      <c r="AL271" s="85" t="s">
        <v>21</v>
      </c>
      <c r="AM271" s="86"/>
      <c r="AN271" s="85"/>
      <c r="AO271" s="87"/>
      <c r="AP271" s="85"/>
      <c r="AQ271" s="86"/>
      <c r="AR271" s="85"/>
    </row>
    <row r="272" spans="1:44" ht="15.75" customHeight="1">
      <c r="A272" s="54"/>
      <c r="B272" s="100"/>
      <c r="C272" s="55"/>
      <c r="D272" s="55"/>
      <c r="E272" s="56"/>
      <c r="F272" s="55"/>
      <c r="G272" s="56"/>
      <c r="H272" s="55"/>
      <c r="I272" s="64"/>
      <c r="J272" s="57" t="str">
        <f t="shared" si="29"/>
        <v/>
      </c>
      <c r="K272" s="57" t="str">
        <f t="shared" si="30"/>
        <v/>
      </c>
      <c r="L272" s="57" t="str">
        <f xml:space="preserve">
IF(OR('Dados da OS'!$D$8=Parâmetros!$B$3,'Dados da OS'!$D$8=Parâmetros!$B$4),
  IF(OR(ISBLANK(D272),ISBLANK(F272)),
     IF(OR(B272="ALI",B272="AIE"),"L",IF(ISBLANK(B272),"","A")),
     IF(B272="EE",IF(F272&gt;=3,IF(D272&gt;=5,"H","A"),
     IF(F272&gt;=2,IF(D272&gt;=16,"H",IF(D272&lt;=4,"L","A")),IF(D272&lt;=15,"L","A"))),
     IF(OR(B272="SE",B272="CE"),IF(F272&gt;=4,IF(D272&gt;=6,"H","A"),IF(F272&gt;=2,IF(D272&gt;=20,"H",IF(D272&lt;=5,"L","A")),IF(D272&lt;=19,"L","A"))),
     IF(OR(B272="ALI",B272="AIE"),IF(F272&gt;=6,IF(D272&gt;=20,"H","A"),IF(F272&gt;=2,IF(D272&gt;=51,"H",IF(D272&lt;=19,"L","A")),IF(D272&lt;=50,"L","A"))))))),
IF('Dados da OS'!$D$8=Parâmetros!$B$6,"Indicativa",
IF('Dados da OS'!$D$8=Parâmetros!$B$5,"PFS","")))</f>
        <v/>
      </c>
      <c r="M272" s="57">
        <f>IFERROR(VLOOKUP(C272,'Fatores de Impacto e INMs'!$A$3:$D$32,3,0),1)</f>
        <v>1</v>
      </c>
      <c r="N272" s="57">
        <f>IFERROR(VLOOKUP(C272,'Fatores de Impacto e INMs'!$A$3:$E$32,5,0),1)</f>
        <v>1</v>
      </c>
      <c r="O272" s="63" t="str">
        <f xml:space="preserve">
IF(OR('Dados da OS'!$D$8="Selecione o tipo da contagem",ISBLANK('Dados da OS'!$D$8),B272="INM",B272="N/A",ISBLANK(B272),ISBLANK(C272),N272="VF"),"-",
   IF('Dados da OS'!$D$8=Parâmetros!$B$3,
      IF(OR(ISBLANK(D272),ISBLANK(F272)),"-",
         IF(L272="L","Baixa",IF(L272="A","Média",IF(L272="H","Alta","-")))),
      IF('Dados da OS'!$D$8=Parâmetros!$B$4,
         IF(OR(B272="ALI",B272="AIE"),"Baixa",IF(OR(B272="EE",B272="SE",B272="CE"),"Média","-")),
         IF(OR('Dados da OS'!$D$8=Parâmetros!$B$5,'Dados da OS'!$D$8=Parâmetros!$B$6),"-"))))</f>
        <v>-</v>
      </c>
      <c r="P272" s="59" t="str">
        <f xml:space="preserve">
IF(OR(ISBLANK(B272),ISBLANK(C272),B272="N/A",ISBLANK('Dados da OS'!$D$8)),"",
   IF(OR('Dados da OS'!$D$8=Parâmetros!$B$3,'Dados da OS'!$D$8=Parâmetros!$B$4),
      IF(OR(AND(B272="INM",N272&lt;&gt;"VF"),AND(N272="VF",B272&lt;&gt;"INM")),"",
        IF(AND(B272="INM",N272="VF"),IF(ISBLANK(H272),"",M272*H272),
        IF('Dados da OS'!$D$8=Parâmetros!$B$4,
           IF(OR(B272="CE",B272="EE"),4,IF(B272="SE",5,IF(B272="ALI",7,IF(B272="AIE",5,"")))),
        IF('Dados da OS'!$D$8=Parâmetros!$B$3,
           IF(OR(ISBLANK(D272),ISBLANK(F272)),"",
              IF(B272="ALI",IF(L272="L",7,IF(L272="A",10,15)),
                 IF(B272="AIE",IF(L272="L",5,IF(L272="A",7,10)),
                    IF(B272="SE",IF(L272="L",4,IF(L272="A",5,7)),
                       IF(OR(B272="EE",B272="CE"),IF(L272="L",3,IF(L272="A",4,6)),""))))))))),
   IF('Dados da OS'!$D$8=Parâmetros!$B$5,
      IF(OR(AND(B272="INM",N272&lt;&gt;"VF"),AND(N272="VF",B272&lt;&gt;"INM")),"",
         IF(B272="INM",IF(N272="VF",M272*H272,""),
            IF(B272="PE",4.6,
            IF(B272="AL",7,"")))),
   IF('Dados da OS'!$D$8=Parâmetros!$B$6,
      IF(B272="ALI",35,IF(B272="AIE",15,"")),""))
    )
)</f>
        <v/>
      </c>
      <c r="Q272" s="60" t="str">
        <f t="shared" si="31"/>
        <v/>
      </c>
      <c r="R272" s="61"/>
      <c r="S272" s="62"/>
      <c r="T272" s="80" t="s">
        <v>21</v>
      </c>
      <c r="U272" s="81"/>
      <c r="V272" s="99"/>
      <c r="W272" s="55"/>
      <c r="X272" s="55"/>
      <c r="Y272" s="56"/>
      <c r="Z272" s="55"/>
      <c r="AA272" s="56"/>
      <c r="AB272" s="55"/>
      <c r="AC272" s="57" t="str">
        <f t="shared" si="32"/>
        <v/>
      </c>
      <c r="AD272" s="57" t="str">
        <f t="shared" si="33"/>
        <v/>
      </c>
      <c r="AE272" s="57" t="str">
        <f xml:space="preserve">
IF(OR('Dados da OS'!$D$8=Parâmetros!$B$3,'Dados da OS'!$D$8=Parâmetros!$B$4),
  IF(OR(ISBLANK(X272),ISBLANK(Z272)),
     IF(OR(V272="ALI",V272="AIE"),"L",IF(ISBLANK(V272),"","A")),
     IF(V272="EE",IF(Z272&gt;=3,IF(X272&gt;=5,"H","A"),
     IF(Z272&gt;=2,IF(X272&gt;=16,"H",IF(X272&lt;=4,"L","A")),IF(X272&lt;=15,"L","A"))),
     IF(OR(V272="SE",V272="CE"),IF(Z272&gt;=4,IF(X272&gt;=6,"H","A"),IF(Z272&gt;=2,IF(X272&gt;=20,"H",IF(X272&lt;=5,"L","A")),IF(X272&lt;=19,"L","A"))),
     IF(OR(V272="ALI",V272="AIE"),IF(Z272&gt;=6,IF(X272&gt;=20,"H","A"),IF(Z272&gt;=2,IF(X272&gt;=51,"H",IF(X272&lt;=19,"L","A")),IF(X272&lt;=50,"L","A"))))))),
IF('Dados da OS'!$D$8=Parâmetros!$B$6,"Indicativa",
IF('Dados da OS'!$D$8=Parâmetros!$B$5,"PFS","")))</f>
        <v/>
      </c>
      <c r="AF272" s="57">
        <f>IFERROR(VLOOKUP(W272,'Fatores de Impacto e INMs'!$A$3:$D$32,3,0),1)</f>
        <v>1</v>
      </c>
      <c r="AG272" s="57">
        <f>IFERROR(VLOOKUP(W272,'Fatores de Impacto e INMs'!$A$3:$E$32,5,0),1)</f>
        <v>1</v>
      </c>
      <c r="AH272" s="82" t="str">
        <f xml:space="preserve">
IF(OR('Dados da OS'!$D$8="Selecione o tipo da contagem",ISBLANK('Dados da OS'!$D$8),V272="INM",V272="N/A",ISBLANK(V272),ISBLANK(W272),AG272="VF"),"-",
   IF('Dados da OS'!$D$8=Parâmetros!$B$3,
      IF(OR(ISBLANK(X272),ISBLANK(Z272)),"-",
         IF(AE272="L","Baixa",IF(AE272="A","Média",IF(AE272="H","Alta","-")))),
      IF('Dados da OS'!$D$8=Parâmetros!$B$4,
         IF(OR(V272="ALI",V272="AIE"),"Baixa",IF(OR(V272="EE",V272="SE",V272="CE"),"Média","-")),
         IF(OR('Dados da OS'!$D$8=Parâmetros!$B$5,'Dados da OS'!$D$8=Parâmetros!$B$6),"-"))))</f>
        <v>-</v>
      </c>
      <c r="AI272" s="83" t="str">
        <f xml:space="preserve">
IF(OR(ISBLANK(V272),ISBLANK(U272),ISBLANK(W272),V272="N/A",ISBLANK('Dados da OS'!$D$8)),"",
   IF(OR('Dados da OS'!$D$8=Parâmetros!$B$3,'Dados da OS'!$D$8=Parâmetros!$B$4),
      IF(OR(AND(V272="INM",AG272&lt;&gt;"VF"),AND(AG272="VF",V272&lt;&gt;"INM")),"",
        IF(AND(V272="INM",AG272="VF"),IF(ISBLANK(AB272),"",AF272*AB272),
        IF('Dados da OS'!$D$8=Parâmetros!$B$4,
           IF(OR(V272="CE",V272="EE"),4,IF(V272="SE",5,IF(V272="ALI",7,IF(V272="AIE",5,"")))),
        IF('Dados da OS'!$D$8=Parâmetros!$B$3,
           IF(OR(ISBLANK(X272),ISBLANK(Z272)),"",
              IF(V272="ALI",IF(AE272="L",7,IF(AE272="A",10,15)),
                 IF(V272="AIE",IF(AE272="L",5,IF(AE272="A",7,10)),
                    IF(V272="SE",IF(AE272="L",4,IF(AE272="A",5,7)),
                       IF(OR(V272="EE",V272="CE"),IF(AE272="L",3,IF(AE272="A",4,6)),""))))))))),
   IF('Dados da OS'!$D$8=Parâmetros!$B$5,
      IF(OR(AND(V272="INM",AG272&lt;&gt;"VF"),AND(AG272="VF",V272&lt;&gt;"INM")),"",
         IF(V272="INM",IF(AG272="VF",AF272*AB272,""),
            IF(V272="PE",4.6,
            IF(V272="AL",7,"")))),
   IF('Dados da OS'!$D$8=Parâmetros!$B$6,
      IF(V272="ALI",35,IF(V272="AIE",15,"")),""))
    )
)</f>
        <v/>
      </c>
      <c r="AJ272" s="82" t="str">
        <f t="shared" si="34"/>
        <v/>
      </c>
      <c r="AK272" s="84"/>
      <c r="AL272" s="85" t="s">
        <v>21</v>
      </c>
      <c r="AM272" s="86"/>
      <c r="AN272" s="85"/>
      <c r="AO272" s="87"/>
      <c r="AP272" s="85"/>
      <c r="AQ272" s="86"/>
      <c r="AR272" s="85"/>
    </row>
    <row r="273" spans="1:44" ht="15.75" customHeight="1">
      <c r="A273" s="54"/>
      <c r="B273" s="100"/>
      <c r="C273" s="55"/>
      <c r="D273" s="55"/>
      <c r="E273" s="56"/>
      <c r="F273" s="55"/>
      <c r="G273" s="56"/>
      <c r="H273" s="55"/>
      <c r="I273" s="64"/>
      <c r="J273" s="57" t="str">
        <f t="shared" si="29"/>
        <v/>
      </c>
      <c r="K273" s="57" t="str">
        <f t="shared" si="30"/>
        <v/>
      </c>
      <c r="L273" s="57" t="str">
        <f xml:space="preserve">
IF(OR('Dados da OS'!$D$8=Parâmetros!$B$3,'Dados da OS'!$D$8=Parâmetros!$B$4),
  IF(OR(ISBLANK(D273),ISBLANK(F273)),
     IF(OR(B273="ALI",B273="AIE"),"L",IF(ISBLANK(B273),"","A")),
     IF(B273="EE",IF(F273&gt;=3,IF(D273&gt;=5,"H","A"),
     IF(F273&gt;=2,IF(D273&gt;=16,"H",IF(D273&lt;=4,"L","A")),IF(D273&lt;=15,"L","A"))),
     IF(OR(B273="SE",B273="CE"),IF(F273&gt;=4,IF(D273&gt;=6,"H","A"),IF(F273&gt;=2,IF(D273&gt;=20,"H",IF(D273&lt;=5,"L","A")),IF(D273&lt;=19,"L","A"))),
     IF(OR(B273="ALI",B273="AIE"),IF(F273&gt;=6,IF(D273&gt;=20,"H","A"),IF(F273&gt;=2,IF(D273&gt;=51,"H",IF(D273&lt;=19,"L","A")),IF(D273&lt;=50,"L","A"))))))),
IF('Dados da OS'!$D$8=Parâmetros!$B$6,"Indicativa",
IF('Dados da OS'!$D$8=Parâmetros!$B$5,"PFS","")))</f>
        <v/>
      </c>
      <c r="M273" s="57">
        <f>IFERROR(VLOOKUP(C273,'Fatores de Impacto e INMs'!$A$3:$D$32,3,0),1)</f>
        <v>1</v>
      </c>
      <c r="N273" s="57">
        <f>IFERROR(VLOOKUP(C273,'Fatores de Impacto e INMs'!$A$3:$E$32,5,0),1)</f>
        <v>1</v>
      </c>
      <c r="O273" s="63" t="str">
        <f xml:space="preserve">
IF(OR('Dados da OS'!$D$8="Selecione o tipo da contagem",ISBLANK('Dados da OS'!$D$8),B273="INM",B273="N/A",ISBLANK(B273),ISBLANK(C273),N273="VF"),"-",
   IF('Dados da OS'!$D$8=Parâmetros!$B$3,
      IF(OR(ISBLANK(D273),ISBLANK(F273)),"-",
         IF(L273="L","Baixa",IF(L273="A","Média",IF(L273="H","Alta","-")))),
      IF('Dados da OS'!$D$8=Parâmetros!$B$4,
         IF(OR(B273="ALI",B273="AIE"),"Baixa",IF(OR(B273="EE",B273="SE",B273="CE"),"Média","-")),
         IF(OR('Dados da OS'!$D$8=Parâmetros!$B$5,'Dados da OS'!$D$8=Parâmetros!$B$6),"-"))))</f>
        <v>-</v>
      </c>
      <c r="P273" s="59" t="str">
        <f xml:space="preserve">
IF(OR(ISBLANK(B273),ISBLANK(C273),B273="N/A",ISBLANK('Dados da OS'!$D$8)),"",
   IF(OR('Dados da OS'!$D$8=Parâmetros!$B$3,'Dados da OS'!$D$8=Parâmetros!$B$4),
      IF(OR(AND(B273="INM",N273&lt;&gt;"VF"),AND(N273="VF",B273&lt;&gt;"INM")),"",
        IF(AND(B273="INM",N273="VF"),IF(ISBLANK(H273),"",M273*H273),
        IF('Dados da OS'!$D$8=Parâmetros!$B$4,
           IF(OR(B273="CE",B273="EE"),4,IF(B273="SE",5,IF(B273="ALI",7,IF(B273="AIE",5,"")))),
        IF('Dados da OS'!$D$8=Parâmetros!$B$3,
           IF(OR(ISBLANK(D273),ISBLANK(F273)),"",
              IF(B273="ALI",IF(L273="L",7,IF(L273="A",10,15)),
                 IF(B273="AIE",IF(L273="L",5,IF(L273="A",7,10)),
                    IF(B273="SE",IF(L273="L",4,IF(L273="A",5,7)),
                       IF(OR(B273="EE",B273="CE"),IF(L273="L",3,IF(L273="A",4,6)),""))))))))),
   IF('Dados da OS'!$D$8=Parâmetros!$B$5,
      IF(OR(AND(B273="INM",N273&lt;&gt;"VF"),AND(N273="VF",B273&lt;&gt;"INM")),"",
         IF(B273="INM",IF(N273="VF",M273*H273,""),
            IF(B273="PE",4.6,
            IF(B273="AL",7,"")))),
   IF('Dados da OS'!$D$8=Parâmetros!$B$6,
      IF(B273="ALI",35,IF(B273="AIE",15,"")),""))
    )
)</f>
        <v/>
      </c>
      <c r="Q273" s="60" t="str">
        <f t="shared" si="31"/>
        <v/>
      </c>
      <c r="R273" s="61"/>
      <c r="S273" s="62"/>
      <c r="T273" s="80" t="s">
        <v>21</v>
      </c>
      <c r="U273" s="81"/>
      <c r="V273" s="99"/>
      <c r="W273" s="55"/>
      <c r="X273" s="55"/>
      <c r="Y273" s="56"/>
      <c r="Z273" s="55"/>
      <c r="AA273" s="56"/>
      <c r="AB273" s="55"/>
      <c r="AC273" s="57" t="str">
        <f t="shared" si="32"/>
        <v/>
      </c>
      <c r="AD273" s="57" t="str">
        <f t="shared" si="33"/>
        <v/>
      </c>
      <c r="AE273" s="57" t="str">
        <f xml:space="preserve">
IF(OR('Dados da OS'!$D$8=Parâmetros!$B$3,'Dados da OS'!$D$8=Parâmetros!$B$4),
  IF(OR(ISBLANK(X273),ISBLANK(Z273)),
     IF(OR(V273="ALI",V273="AIE"),"L",IF(ISBLANK(V273),"","A")),
     IF(V273="EE",IF(Z273&gt;=3,IF(X273&gt;=5,"H","A"),
     IF(Z273&gt;=2,IF(X273&gt;=16,"H",IF(X273&lt;=4,"L","A")),IF(X273&lt;=15,"L","A"))),
     IF(OR(V273="SE",V273="CE"),IF(Z273&gt;=4,IF(X273&gt;=6,"H","A"),IF(Z273&gt;=2,IF(X273&gt;=20,"H",IF(X273&lt;=5,"L","A")),IF(X273&lt;=19,"L","A"))),
     IF(OR(V273="ALI",V273="AIE"),IF(Z273&gt;=6,IF(X273&gt;=20,"H","A"),IF(Z273&gt;=2,IF(X273&gt;=51,"H",IF(X273&lt;=19,"L","A")),IF(X273&lt;=50,"L","A"))))))),
IF('Dados da OS'!$D$8=Parâmetros!$B$6,"Indicativa",
IF('Dados da OS'!$D$8=Parâmetros!$B$5,"PFS","")))</f>
        <v/>
      </c>
      <c r="AF273" s="57">
        <f>IFERROR(VLOOKUP(W273,'Fatores de Impacto e INMs'!$A$3:$D$32,3,0),1)</f>
        <v>1</v>
      </c>
      <c r="AG273" s="57">
        <f>IFERROR(VLOOKUP(W273,'Fatores de Impacto e INMs'!$A$3:$E$32,5,0),1)</f>
        <v>1</v>
      </c>
      <c r="AH273" s="82" t="str">
        <f xml:space="preserve">
IF(OR('Dados da OS'!$D$8="Selecione o tipo da contagem",ISBLANK('Dados da OS'!$D$8),V273="INM",V273="N/A",ISBLANK(V273),ISBLANK(W273),AG273="VF"),"-",
   IF('Dados da OS'!$D$8=Parâmetros!$B$3,
      IF(OR(ISBLANK(X273),ISBLANK(Z273)),"-",
         IF(AE273="L","Baixa",IF(AE273="A","Média",IF(AE273="H","Alta","-")))),
      IF('Dados da OS'!$D$8=Parâmetros!$B$4,
         IF(OR(V273="ALI",V273="AIE"),"Baixa",IF(OR(V273="EE",V273="SE",V273="CE"),"Média","-")),
         IF(OR('Dados da OS'!$D$8=Parâmetros!$B$5,'Dados da OS'!$D$8=Parâmetros!$B$6),"-"))))</f>
        <v>-</v>
      </c>
      <c r="AI273" s="83" t="str">
        <f xml:space="preserve">
IF(OR(ISBLANK(V273),ISBLANK(U273),ISBLANK(W273),V273="N/A",ISBLANK('Dados da OS'!$D$8)),"",
   IF(OR('Dados da OS'!$D$8=Parâmetros!$B$3,'Dados da OS'!$D$8=Parâmetros!$B$4),
      IF(OR(AND(V273="INM",AG273&lt;&gt;"VF"),AND(AG273="VF",V273&lt;&gt;"INM")),"",
        IF(AND(V273="INM",AG273="VF"),IF(ISBLANK(AB273),"",AF273*AB273),
        IF('Dados da OS'!$D$8=Parâmetros!$B$4,
           IF(OR(V273="CE",V273="EE"),4,IF(V273="SE",5,IF(V273="ALI",7,IF(V273="AIE",5,"")))),
        IF('Dados da OS'!$D$8=Parâmetros!$B$3,
           IF(OR(ISBLANK(X273),ISBLANK(Z273)),"",
              IF(V273="ALI",IF(AE273="L",7,IF(AE273="A",10,15)),
                 IF(V273="AIE",IF(AE273="L",5,IF(AE273="A",7,10)),
                    IF(V273="SE",IF(AE273="L",4,IF(AE273="A",5,7)),
                       IF(OR(V273="EE",V273="CE"),IF(AE273="L",3,IF(AE273="A",4,6)),""))))))))),
   IF('Dados da OS'!$D$8=Parâmetros!$B$5,
      IF(OR(AND(V273="INM",AG273&lt;&gt;"VF"),AND(AG273="VF",V273&lt;&gt;"INM")),"",
         IF(V273="INM",IF(AG273="VF",AF273*AB273,""),
            IF(V273="PE",4.6,
            IF(V273="AL",7,"")))),
   IF('Dados da OS'!$D$8=Parâmetros!$B$6,
      IF(V273="ALI",35,IF(V273="AIE",15,"")),""))
    )
)</f>
        <v/>
      </c>
      <c r="AJ273" s="82" t="str">
        <f t="shared" si="34"/>
        <v/>
      </c>
      <c r="AK273" s="84"/>
      <c r="AL273" s="85" t="s">
        <v>21</v>
      </c>
      <c r="AM273" s="86"/>
      <c r="AN273" s="85"/>
      <c r="AO273" s="87"/>
      <c r="AP273" s="85"/>
      <c r="AQ273" s="86"/>
      <c r="AR273" s="85"/>
    </row>
    <row r="274" spans="1:44" ht="15.75" customHeight="1">
      <c r="A274" s="54"/>
      <c r="B274" s="100"/>
      <c r="C274" s="55"/>
      <c r="D274" s="55"/>
      <c r="E274" s="56"/>
      <c r="F274" s="55"/>
      <c r="G274" s="56"/>
      <c r="H274" s="55"/>
      <c r="I274" s="64"/>
      <c r="J274" s="57" t="str">
        <f t="shared" si="29"/>
        <v/>
      </c>
      <c r="K274" s="57" t="str">
        <f t="shared" si="30"/>
        <v/>
      </c>
      <c r="L274" s="57" t="str">
        <f xml:space="preserve">
IF(OR('Dados da OS'!$D$8=Parâmetros!$B$3,'Dados da OS'!$D$8=Parâmetros!$B$4),
  IF(OR(ISBLANK(D274),ISBLANK(F274)),
     IF(OR(B274="ALI",B274="AIE"),"L",IF(ISBLANK(B274),"","A")),
     IF(B274="EE",IF(F274&gt;=3,IF(D274&gt;=5,"H","A"),
     IF(F274&gt;=2,IF(D274&gt;=16,"H",IF(D274&lt;=4,"L","A")),IF(D274&lt;=15,"L","A"))),
     IF(OR(B274="SE",B274="CE"),IF(F274&gt;=4,IF(D274&gt;=6,"H","A"),IF(F274&gt;=2,IF(D274&gt;=20,"H",IF(D274&lt;=5,"L","A")),IF(D274&lt;=19,"L","A"))),
     IF(OR(B274="ALI",B274="AIE"),IF(F274&gt;=6,IF(D274&gt;=20,"H","A"),IF(F274&gt;=2,IF(D274&gt;=51,"H",IF(D274&lt;=19,"L","A")),IF(D274&lt;=50,"L","A"))))))),
IF('Dados da OS'!$D$8=Parâmetros!$B$6,"Indicativa",
IF('Dados da OS'!$D$8=Parâmetros!$B$5,"PFS","")))</f>
        <v/>
      </c>
      <c r="M274" s="57">
        <f>IFERROR(VLOOKUP(C274,'Fatores de Impacto e INMs'!$A$3:$D$32,3,0),1)</f>
        <v>1</v>
      </c>
      <c r="N274" s="57">
        <f>IFERROR(VLOOKUP(C274,'Fatores de Impacto e INMs'!$A$3:$E$32,5,0),1)</f>
        <v>1</v>
      </c>
      <c r="O274" s="63" t="str">
        <f xml:space="preserve">
IF(OR('Dados da OS'!$D$8="Selecione o tipo da contagem",ISBLANK('Dados da OS'!$D$8),B274="INM",B274="N/A",ISBLANK(B274),ISBLANK(C274),N274="VF"),"-",
   IF('Dados da OS'!$D$8=Parâmetros!$B$3,
      IF(OR(ISBLANK(D274),ISBLANK(F274)),"-",
         IF(L274="L","Baixa",IF(L274="A","Média",IF(L274="H","Alta","-")))),
      IF('Dados da OS'!$D$8=Parâmetros!$B$4,
         IF(OR(B274="ALI",B274="AIE"),"Baixa",IF(OR(B274="EE",B274="SE",B274="CE"),"Média","-")),
         IF(OR('Dados da OS'!$D$8=Parâmetros!$B$5,'Dados da OS'!$D$8=Parâmetros!$B$6),"-"))))</f>
        <v>-</v>
      </c>
      <c r="P274" s="59" t="str">
        <f xml:space="preserve">
IF(OR(ISBLANK(B274),ISBLANK(C274),B274="N/A",ISBLANK('Dados da OS'!$D$8)),"",
   IF(OR('Dados da OS'!$D$8=Parâmetros!$B$3,'Dados da OS'!$D$8=Parâmetros!$B$4),
      IF(OR(AND(B274="INM",N274&lt;&gt;"VF"),AND(N274="VF",B274&lt;&gt;"INM")),"",
        IF(AND(B274="INM",N274="VF"),IF(ISBLANK(H274),"",M274*H274),
        IF('Dados da OS'!$D$8=Parâmetros!$B$4,
           IF(OR(B274="CE",B274="EE"),4,IF(B274="SE",5,IF(B274="ALI",7,IF(B274="AIE",5,"")))),
        IF('Dados da OS'!$D$8=Parâmetros!$B$3,
           IF(OR(ISBLANK(D274),ISBLANK(F274)),"",
              IF(B274="ALI",IF(L274="L",7,IF(L274="A",10,15)),
                 IF(B274="AIE",IF(L274="L",5,IF(L274="A",7,10)),
                    IF(B274="SE",IF(L274="L",4,IF(L274="A",5,7)),
                       IF(OR(B274="EE",B274="CE"),IF(L274="L",3,IF(L274="A",4,6)),""))))))))),
   IF('Dados da OS'!$D$8=Parâmetros!$B$5,
      IF(OR(AND(B274="INM",N274&lt;&gt;"VF"),AND(N274="VF",B274&lt;&gt;"INM")),"",
         IF(B274="INM",IF(N274="VF",M274*H274,""),
            IF(B274="PE",4.6,
            IF(B274="AL",7,"")))),
   IF('Dados da OS'!$D$8=Parâmetros!$B$6,
      IF(B274="ALI",35,IF(B274="AIE",15,"")),""))
    )
)</f>
        <v/>
      </c>
      <c r="Q274" s="60" t="str">
        <f t="shared" si="31"/>
        <v/>
      </c>
      <c r="R274" s="61"/>
      <c r="S274" s="62"/>
      <c r="T274" s="80" t="s">
        <v>21</v>
      </c>
      <c r="U274" s="81"/>
      <c r="V274" s="99"/>
      <c r="W274" s="55"/>
      <c r="X274" s="55"/>
      <c r="Y274" s="56"/>
      <c r="Z274" s="55"/>
      <c r="AA274" s="56"/>
      <c r="AB274" s="55"/>
      <c r="AC274" s="57" t="str">
        <f t="shared" si="32"/>
        <v/>
      </c>
      <c r="AD274" s="57" t="str">
        <f t="shared" si="33"/>
        <v/>
      </c>
      <c r="AE274" s="57" t="str">
        <f xml:space="preserve">
IF(OR('Dados da OS'!$D$8=Parâmetros!$B$3,'Dados da OS'!$D$8=Parâmetros!$B$4),
  IF(OR(ISBLANK(X274),ISBLANK(Z274)),
     IF(OR(V274="ALI",V274="AIE"),"L",IF(ISBLANK(V274),"","A")),
     IF(V274="EE",IF(Z274&gt;=3,IF(X274&gt;=5,"H","A"),
     IF(Z274&gt;=2,IF(X274&gt;=16,"H",IF(X274&lt;=4,"L","A")),IF(X274&lt;=15,"L","A"))),
     IF(OR(V274="SE",V274="CE"),IF(Z274&gt;=4,IF(X274&gt;=6,"H","A"),IF(Z274&gt;=2,IF(X274&gt;=20,"H",IF(X274&lt;=5,"L","A")),IF(X274&lt;=19,"L","A"))),
     IF(OR(V274="ALI",V274="AIE"),IF(Z274&gt;=6,IF(X274&gt;=20,"H","A"),IF(Z274&gt;=2,IF(X274&gt;=51,"H",IF(X274&lt;=19,"L","A")),IF(X274&lt;=50,"L","A"))))))),
IF('Dados da OS'!$D$8=Parâmetros!$B$6,"Indicativa",
IF('Dados da OS'!$D$8=Parâmetros!$B$5,"PFS","")))</f>
        <v/>
      </c>
      <c r="AF274" s="57">
        <f>IFERROR(VLOOKUP(W274,'Fatores de Impacto e INMs'!$A$3:$D$32,3,0),1)</f>
        <v>1</v>
      </c>
      <c r="AG274" s="57">
        <f>IFERROR(VLOOKUP(W274,'Fatores de Impacto e INMs'!$A$3:$E$32,5,0),1)</f>
        <v>1</v>
      </c>
      <c r="AH274" s="82" t="str">
        <f xml:space="preserve">
IF(OR('Dados da OS'!$D$8="Selecione o tipo da contagem",ISBLANK('Dados da OS'!$D$8),V274="INM",V274="N/A",ISBLANK(V274),ISBLANK(W274),AG274="VF"),"-",
   IF('Dados da OS'!$D$8=Parâmetros!$B$3,
      IF(OR(ISBLANK(X274),ISBLANK(Z274)),"-",
         IF(AE274="L","Baixa",IF(AE274="A","Média",IF(AE274="H","Alta","-")))),
      IF('Dados da OS'!$D$8=Parâmetros!$B$4,
         IF(OR(V274="ALI",V274="AIE"),"Baixa",IF(OR(V274="EE",V274="SE",V274="CE"),"Média","-")),
         IF(OR('Dados da OS'!$D$8=Parâmetros!$B$5,'Dados da OS'!$D$8=Parâmetros!$B$6),"-"))))</f>
        <v>-</v>
      </c>
      <c r="AI274" s="83" t="str">
        <f xml:space="preserve">
IF(OR(ISBLANK(V274),ISBLANK(U274),ISBLANK(W274),V274="N/A",ISBLANK('Dados da OS'!$D$8)),"",
   IF(OR('Dados da OS'!$D$8=Parâmetros!$B$3,'Dados da OS'!$D$8=Parâmetros!$B$4),
      IF(OR(AND(V274="INM",AG274&lt;&gt;"VF"),AND(AG274="VF",V274&lt;&gt;"INM")),"",
        IF(AND(V274="INM",AG274="VF"),IF(ISBLANK(AB274),"",AF274*AB274),
        IF('Dados da OS'!$D$8=Parâmetros!$B$4,
           IF(OR(V274="CE",V274="EE"),4,IF(V274="SE",5,IF(V274="ALI",7,IF(V274="AIE",5,"")))),
        IF('Dados da OS'!$D$8=Parâmetros!$B$3,
           IF(OR(ISBLANK(X274),ISBLANK(Z274)),"",
              IF(V274="ALI",IF(AE274="L",7,IF(AE274="A",10,15)),
                 IF(V274="AIE",IF(AE274="L",5,IF(AE274="A",7,10)),
                    IF(V274="SE",IF(AE274="L",4,IF(AE274="A",5,7)),
                       IF(OR(V274="EE",V274="CE"),IF(AE274="L",3,IF(AE274="A",4,6)),""))))))))),
   IF('Dados da OS'!$D$8=Parâmetros!$B$5,
      IF(OR(AND(V274="INM",AG274&lt;&gt;"VF"),AND(AG274="VF",V274&lt;&gt;"INM")),"",
         IF(V274="INM",IF(AG274="VF",AF274*AB274,""),
            IF(V274="PE",4.6,
            IF(V274="AL",7,"")))),
   IF('Dados da OS'!$D$8=Parâmetros!$B$6,
      IF(V274="ALI",35,IF(V274="AIE",15,"")),""))
    )
)</f>
        <v/>
      </c>
      <c r="AJ274" s="82" t="str">
        <f t="shared" si="34"/>
        <v/>
      </c>
      <c r="AK274" s="84"/>
      <c r="AL274" s="85" t="s">
        <v>21</v>
      </c>
      <c r="AM274" s="86"/>
      <c r="AN274" s="85"/>
      <c r="AO274" s="87"/>
      <c r="AP274" s="85"/>
      <c r="AQ274" s="86"/>
      <c r="AR274" s="85"/>
    </row>
    <row r="275" spans="1:44" ht="15.75" customHeight="1">
      <c r="A275" s="54"/>
      <c r="B275" s="100"/>
      <c r="C275" s="55"/>
      <c r="D275" s="55"/>
      <c r="E275" s="56"/>
      <c r="F275" s="55"/>
      <c r="G275" s="56"/>
      <c r="H275" s="55"/>
      <c r="I275" s="64"/>
      <c r="J275" s="57" t="str">
        <f t="shared" si="29"/>
        <v/>
      </c>
      <c r="K275" s="57" t="str">
        <f t="shared" si="30"/>
        <v/>
      </c>
      <c r="L275" s="57" t="str">
        <f xml:space="preserve">
IF(OR('Dados da OS'!$D$8=Parâmetros!$B$3,'Dados da OS'!$D$8=Parâmetros!$B$4),
  IF(OR(ISBLANK(D275),ISBLANK(F275)),
     IF(OR(B275="ALI",B275="AIE"),"L",IF(ISBLANK(B275),"","A")),
     IF(B275="EE",IF(F275&gt;=3,IF(D275&gt;=5,"H","A"),
     IF(F275&gt;=2,IF(D275&gt;=16,"H",IF(D275&lt;=4,"L","A")),IF(D275&lt;=15,"L","A"))),
     IF(OR(B275="SE",B275="CE"),IF(F275&gt;=4,IF(D275&gt;=6,"H","A"),IF(F275&gt;=2,IF(D275&gt;=20,"H",IF(D275&lt;=5,"L","A")),IF(D275&lt;=19,"L","A"))),
     IF(OR(B275="ALI",B275="AIE"),IF(F275&gt;=6,IF(D275&gt;=20,"H","A"),IF(F275&gt;=2,IF(D275&gt;=51,"H",IF(D275&lt;=19,"L","A")),IF(D275&lt;=50,"L","A"))))))),
IF('Dados da OS'!$D$8=Parâmetros!$B$6,"Indicativa",
IF('Dados da OS'!$D$8=Parâmetros!$B$5,"PFS","")))</f>
        <v/>
      </c>
      <c r="M275" s="57">
        <f>IFERROR(VLOOKUP(C275,'Fatores de Impacto e INMs'!$A$3:$D$32,3,0),1)</f>
        <v>1</v>
      </c>
      <c r="N275" s="57">
        <f>IFERROR(VLOOKUP(C275,'Fatores de Impacto e INMs'!$A$3:$E$32,5,0),1)</f>
        <v>1</v>
      </c>
      <c r="O275" s="63" t="str">
        <f xml:space="preserve">
IF(OR('Dados da OS'!$D$8="Selecione o tipo da contagem",ISBLANK('Dados da OS'!$D$8),B275="INM",B275="N/A",ISBLANK(B275),ISBLANK(C275),N275="VF"),"-",
   IF('Dados da OS'!$D$8=Parâmetros!$B$3,
      IF(OR(ISBLANK(D275),ISBLANK(F275)),"-",
         IF(L275="L","Baixa",IF(L275="A","Média",IF(L275="H","Alta","-")))),
      IF('Dados da OS'!$D$8=Parâmetros!$B$4,
         IF(OR(B275="ALI",B275="AIE"),"Baixa",IF(OR(B275="EE",B275="SE",B275="CE"),"Média","-")),
         IF(OR('Dados da OS'!$D$8=Parâmetros!$B$5,'Dados da OS'!$D$8=Parâmetros!$B$6),"-"))))</f>
        <v>-</v>
      </c>
      <c r="P275" s="59" t="str">
        <f xml:space="preserve">
IF(OR(ISBLANK(B275),ISBLANK(C275),B275="N/A",ISBLANK('Dados da OS'!$D$8)),"",
   IF(OR('Dados da OS'!$D$8=Parâmetros!$B$3,'Dados da OS'!$D$8=Parâmetros!$B$4),
      IF(OR(AND(B275="INM",N275&lt;&gt;"VF"),AND(N275="VF",B275&lt;&gt;"INM")),"",
        IF(AND(B275="INM",N275="VF"),IF(ISBLANK(H275),"",M275*H275),
        IF('Dados da OS'!$D$8=Parâmetros!$B$4,
           IF(OR(B275="CE",B275="EE"),4,IF(B275="SE",5,IF(B275="ALI",7,IF(B275="AIE",5,"")))),
        IF('Dados da OS'!$D$8=Parâmetros!$B$3,
           IF(OR(ISBLANK(D275),ISBLANK(F275)),"",
              IF(B275="ALI",IF(L275="L",7,IF(L275="A",10,15)),
                 IF(B275="AIE",IF(L275="L",5,IF(L275="A",7,10)),
                    IF(B275="SE",IF(L275="L",4,IF(L275="A",5,7)),
                       IF(OR(B275="EE",B275="CE"),IF(L275="L",3,IF(L275="A",4,6)),""))))))))),
   IF('Dados da OS'!$D$8=Parâmetros!$B$5,
      IF(OR(AND(B275="INM",N275&lt;&gt;"VF"),AND(N275="VF",B275&lt;&gt;"INM")),"",
         IF(B275="INM",IF(N275="VF",M275*H275,""),
            IF(B275="PE",4.6,
            IF(B275="AL",7,"")))),
   IF('Dados da OS'!$D$8=Parâmetros!$B$6,
      IF(B275="ALI",35,IF(B275="AIE",15,"")),""))
    )
)</f>
        <v/>
      </c>
      <c r="Q275" s="60" t="str">
        <f t="shared" si="31"/>
        <v/>
      </c>
      <c r="R275" s="61"/>
      <c r="S275" s="62"/>
      <c r="T275" s="80" t="s">
        <v>21</v>
      </c>
      <c r="U275" s="81"/>
      <c r="V275" s="99"/>
      <c r="W275" s="55"/>
      <c r="X275" s="55"/>
      <c r="Y275" s="56"/>
      <c r="Z275" s="55"/>
      <c r="AA275" s="56"/>
      <c r="AB275" s="55"/>
      <c r="AC275" s="57" t="str">
        <f t="shared" si="32"/>
        <v/>
      </c>
      <c r="AD275" s="57" t="str">
        <f t="shared" si="33"/>
        <v/>
      </c>
      <c r="AE275" s="57" t="str">
        <f xml:space="preserve">
IF(OR('Dados da OS'!$D$8=Parâmetros!$B$3,'Dados da OS'!$D$8=Parâmetros!$B$4),
  IF(OR(ISBLANK(X275),ISBLANK(Z275)),
     IF(OR(V275="ALI",V275="AIE"),"L",IF(ISBLANK(V275),"","A")),
     IF(V275="EE",IF(Z275&gt;=3,IF(X275&gt;=5,"H","A"),
     IF(Z275&gt;=2,IF(X275&gt;=16,"H",IF(X275&lt;=4,"L","A")),IF(X275&lt;=15,"L","A"))),
     IF(OR(V275="SE",V275="CE"),IF(Z275&gt;=4,IF(X275&gt;=6,"H","A"),IF(Z275&gt;=2,IF(X275&gt;=20,"H",IF(X275&lt;=5,"L","A")),IF(X275&lt;=19,"L","A"))),
     IF(OR(V275="ALI",V275="AIE"),IF(Z275&gt;=6,IF(X275&gt;=20,"H","A"),IF(Z275&gt;=2,IF(X275&gt;=51,"H",IF(X275&lt;=19,"L","A")),IF(X275&lt;=50,"L","A"))))))),
IF('Dados da OS'!$D$8=Parâmetros!$B$6,"Indicativa",
IF('Dados da OS'!$D$8=Parâmetros!$B$5,"PFS","")))</f>
        <v/>
      </c>
      <c r="AF275" s="57">
        <f>IFERROR(VLOOKUP(W275,'Fatores de Impacto e INMs'!$A$3:$D$32,3,0),1)</f>
        <v>1</v>
      </c>
      <c r="AG275" s="57">
        <f>IFERROR(VLOOKUP(W275,'Fatores de Impacto e INMs'!$A$3:$E$32,5,0),1)</f>
        <v>1</v>
      </c>
      <c r="AH275" s="82" t="str">
        <f xml:space="preserve">
IF(OR('Dados da OS'!$D$8="Selecione o tipo da contagem",ISBLANK('Dados da OS'!$D$8),V275="INM",V275="N/A",ISBLANK(V275),ISBLANK(W275),AG275="VF"),"-",
   IF('Dados da OS'!$D$8=Parâmetros!$B$3,
      IF(OR(ISBLANK(X275),ISBLANK(Z275)),"-",
         IF(AE275="L","Baixa",IF(AE275="A","Média",IF(AE275="H","Alta","-")))),
      IF('Dados da OS'!$D$8=Parâmetros!$B$4,
         IF(OR(V275="ALI",V275="AIE"),"Baixa",IF(OR(V275="EE",V275="SE",V275="CE"),"Média","-")),
         IF(OR('Dados da OS'!$D$8=Parâmetros!$B$5,'Dados da OS'!$D$8=Parâmetros!$B$6),"-"))))</f>
        <v>-</v>
      </c>
      <c r="AI275" s="83" t="str">
        <f xml:space="preserve">
IF(OR(ISBLANK(V275),ISBLANK(U275),ISBLANK(W275),V275="N/A",ISBLANK('Dados da OS'!$D$8)),"",
   IF(OR('Dados da OS'!$D$8=Parâmetros!$B$3,'Dados da OS'!$D$8=Parâmetros!$B$4),
      IF(OR(AND(V275="INM",AG275&lt;&gt;"VF"),AND(AG275="VF",V275&lt;&gt;"INM")),"",
        IF(AND(V275="INM",AG275="VF"),IF(ISBLANK(AB275),"",AF275*AB275),
        IF('Dados da OS'!$D$8=Parâmetros!$B$4,
           IF(OR(V275="CE",V275="EE"),4,IF(V275="SE",5,IF(V275="ALI",7,IF(V275="AIE",5,"")))),
        IF('Dados da OS'!$D$8=Parâmetros!$B$3,
           IF(OR(ISBLANK(X275),ISBLANK(Z275)),"",
              IF(V275="ALI",IF(AE275="L",7,IF(AE275="A",10,15)),
                 IF(V275="AIE",IF(AE275="L",5,IF(AE275="A",7,10)),
                    IF(V275="SE",IF(AE275="L",4,IF(AE275="A",5,7)),
                       IF(OR(V275="EE",V275="CE"),IF(AE275="L",3,IF(AE275="A",4,6)),""))))))))),
   IF('Dados da OS'!$D$8=Parâmetros!$B$5,
      IF(OR(AND(V275="INM",AG275&lt;&gt;"VF"),AND(AG275="VF",V275&lt;&gt;"INM")),"",
         IF(V275="INM",IF(AG275="VF",AF275*AB275,""),
            IF(V275="PE",4.6,
            IF(V275="AL",7,"")))),
   IF('Dados da OS'!$D$8=Parâmetros!$B$6,
      IF(V275="ALI",35,IF(V275="AIE",15,"")),""))
    )
)</f>
        <v/>
      </c>
      <c r="AJ275" s="82" t="str">
        <f t="shared" si="34"/>
        <v/>
      </c>
      <c r="AK275" s="84"/>
      <c r="AL275" s="85" t="s">
        <v>21</v>
      </c>
      <c r="AM275" s="86"/>
      <c r="AN275" s="85"/>
      <c r="AO275" s="87"/>
      <c r="AP275" s="85"/>
      <c r="AQ275" s="86"/>
      <c r="AR275" s="85"/>
    </row>
    <row r="276" spans="1:44" ht="15.75" customHeight="1">
      <c r="A276" s="54"/>
      <c r="B276" s="100"/>
      <c r="C276" s="55"/>
      <c r="D276" s="55"/>
      <c r="E276" s="56"/>
      <c r="F276" s="55"/>
      <c r="G276" s="56"/>
      <c r="H276" s="55"/>
      <c r="I276" s="64"/>
      <c r="J276" s="57" t="str">
        <f t="shared" si="29"/>
        <v/>
      </c>
      <c r="K276" s="57" t="str">
        <f t="shared" si="30"/>
        <v/>
      </c>
      <c r="L276" s="57" t="str">
        <f xml:space="preserve">
IF(OR('Dados da OS'!$D$8=Parâmetros!$B$3,'Dados da OS'!$D$8=Parâmetros!$B$4),
  IF(OR(ISBLANK(D276),ISBLANK(F276)),
     IF(OR(B276="ALI",B276="AIE"),"L",IF(ISBLANK(B276),"","A")),
     IF(B276="EE",IF(F276&gt;=3,IF(D276&gt;=5,"H","A"),
     IF(F276&gt;=2,IF(D276&gt;=16,"H",IF(D276&lt;=4,"L","A")),IF(D276&lt;=15,"L","A"))),
     IF(OR(B276="SE",B276="CE"),IF(F276&gt;=4,IF(D276&gt;=6,"H","A"),IF(F276&gt;=2,IF(D276&gt;=20,"H",IF(D276&lt;=5,"L","A")),IF(D276&lt;=19,"L","A"))),
     IF(OR(B276="ALI",B276="AIE"),IF(F276&gt;=6,IF(D276&gt;=20,"H","A"),IF(F276&gt;=2,IF(D276&gt;=51,"H",IF(D276&lt;=19,"L","A")),IF(D276&lt;=50,"L","A"))))))),
IF('Dados da OS'!$D$8=Parâmetros!$B$6,"Indicativa",
IF('Dados da OS'!$D$8=Parâmetros!$B$5,"PFS","")))</f>
        <v/>
      </c>
      <c r="M276" s="57">
        <f>IFERROR(VLOOKUP(C276,'Fatores de Impacto e INMs'!$A$3:$D$32,3,0),1)</f>
        <v>1</v>
      </c>
      <c r="N276" s="57">
        <f>IFERROR(VLOOKUP(C276,'Fatores de Impacto e INMs'!$A$3:$E$32,5,0),1)</f>
        <v>1</v>
      </c>
      <c r="O276" s="63" t="str">
        <f xml:space="preserve">
IF(OR('Dados da OS'!$D$8="Selecione o tipo da contagem",ISBLANK('Dados da OS'!$D$8),B276="INM",B276="N/A",ISBLANK(B276),ISBLANK(C276),N276="VF"),"-",
   IF('Dados da OS'!$D$8=Parâmetros!$B$3,
      IF(OR(ISBLANK(D276),ISBLANK(F276)),"-",
         IF(L276="L","Baixa",IF(L276="A","Média",IF(L276="H","Alta","-")))),
      IF('Dados da OS'!$D$8=Parâmetros!$B$4,
         IF(OR(B276="ALI",B276="AIE"),"Baixa",IF(OR(B276="EE",B276="SE",B276="CE"),"Média","-")),
         IF(OR('Dados da OS'!$D$8=Parâmetros!$B$5,'Dados da OS'!$D$8=Parâmetros!$B$6),"-"))))</f>
        <v>-</v>
      </c>
      <c r="P276" s="59" t="str">
        <f xml:space="preserve">
IF(OR(ISBLANK(B276),ISBLANK(C276),B276="N/A",ISBLANK('Dados da OS'!$D$8)),"",
   IF(OR('Dados da OS'!$D$8=Parâmetros!$B$3,'Dados da OS'!$D$8=Parâmetros!$B$4),
      IF(OR(AND(B276="INM",N276&lt;&gt;"VF"),AND(N276="VF",B276&lt;&gt;"INM")),"",
        IF(AND(B276="INM",N276="VF"),IF(ISBLANK(H276),"",M276*H276),
        IF('Dados da OS'!$D$8=Parâmetros!$B$4,
           IF(OR(B276="CE",B276="EE"),4,IF(B276="SE",5,IF(B276="ALI",7,IF(B276="AIE",5,"")))),
        IF('Dados da OS'!$D$8=Parâmetros!$B$3,
           IF(OR(ISBLANK(D276),ISBLANK(F276)),"",
              IF(B276="ALI",IF(L276="L",7,IF(L276="A",10,15)),
                 IF(B276="AIE",IF(L276="L",5,IF(L276="A",7,10)),
                    IF(B276="SE",IF(L276="L",4,IF(L276="A",5,7)),
                       IF(OR(B276="EE",B276="CE"),IF(L276="L",3,IF(L276="A",4,6)),""))))))))),
   IF('Dados da OS'!$D$8=Parâmetros!$B$5,
      IF(OR(AND(B276="INM",N276&lt;&gt;"VF"),AND(N276="VF",B276&lt;&gt;"INM")),"",
         IF(B276="INM",IF(N276="VF",M276*H276,""),
            IF(B276="PE",4.6,
            IF(B276="AL",7,"")))),
   IF('Dados da OS'!$D$8=Parâmetros!$B$6,
      IF(B276="ALI",35,IF(B276="AIE",15,"")),""))
    )
)</f>
        <v/>
      </c>
      <c r="Q276" s="60" t="str">
        <f t="shared" si="31"/>
        <v/>
      </c>
      <c r="R276" s="61"/>
      <c r="S276" s="62"/>
      <c r="T276" s="80" t="s">
        <v>21</v>
      </c>
      <c r="U276" s="81"/>
      <c r="V276" s="99"/>
      <c r="W276" s="55"/>
      <c r="X276" s="55"/>
      <c r="Y276" s="56"/>
      <c r="Z276" s="55"/>
      <c r="AA276" s="56"/>
      <c r="AB276" s="55"/>
      <c r="AC276" s="57" t="str">
        <f t="shared" si="32"/>
        <v/>
      </c>
      <c r="AD276" s="57" t="str">
        <f t="shared" si="33"/>
        <v/>
      </c>
      <c r="AE276" s="57" t="str">
        <f xml:space="preserve">
IF(OR('Dados da OS'!$D$8=Parâmetros!$B$3,'Dados da OS'!$D$8=Parâmetros!$B$4),
  IF(OR(ISBLANK(X276),ISBLANK(Z276)),
     IF(OR(V276="ALI",V276="AIE"),"L",IF(ISBLANK(V276),"","A")),
     IF(V276="EE",IF(Z276&gt;=3,IF(X276&gt;=5,"H","A"),
     IF(Z276&gt;=2,IF(X276&gt;=16,"H",IF(X276&lt;=4,"L","A")),IF(X276&lt;=15,"L","A"))),
     IF(OR(V276="SE",V276="CE"),IF(Z276&gt;=4,IF(X276&gt;=6,"H","A"),IF(Z276&gt;=2,IF(X276&gt;=20,"H",IF(X276&lt;=5,"L","A")),IF(X276&lt;=19,"L","A"))),
     IF(OR(V276="ALI",V276="AIE"),IF(Z276&gt;=6,IF(X276&gt;=20,"H","A"),IF(Z276&gt;=2,IF(X276&gt;=51,"H",IF(X276&lt;=19,"L","A")),IF(X276&lt;=50,"L","A"))))))),
IF('Dados da OS'!$D$8=Parâmetros!$B$6,"Indicativa",
IF('Dados da OS'!$D$8=Parâmetros!$B$5,"PFS","")))</f>
        <v/>
      </c>
      <c r="AF276" s="57">
        <f>IFERROR(VLOOKUP(W276,'Fatores de Impacto e INMs'!$A$3:$D$32,3,0),1)</f>
        <v>1</v>
      </c>
      <c r="AG276" s="57">
        <f>IFERROR(VLOOKUP(W276,'Fatores de Impacto e INMs'!$A$3:$E$32,5,0),1)</f>
        <v>1</v>
      </c>
      <c r="AH276" s="82" t="str">
        <f xml:space="preserve">
IF(OR('Dados da OS'!$D$8="Selecione o tipo da contagem",ISBLANK('Dados da OS'!$D$8),V276="INM",V276="N/A",ISBLANK(V276),ISBLANK(W276),AG276="VF"),"-",
   IF('Dados da OS'!$D$8=Parâmetros!$B$3,
      IF(OR(ISBLANK(X276),ISBLANK(Z276)),"-",
         IF(AE276="L","Baixa",IF(AE276="A","Média",IF(AE276="H","Alta","-")))),
      IF('Dados da OS'!$D$8=Parâmetros!$B$4,
         IF(OR(V276="ALI",V276="AIE"),"Baixa",IF(OR(V276="EE",V276="SE",V276="CE"),"Média","-")),
         IF(OR('Dados da OS'!$D$8=Parâmetros!$B$5,'Dados da OS'!$D$8=Parâmetros!$B$6),"-"))))</f>
        <v>-</v>
      </c>
      <c r="AI276" s="83" t="str">
        <f xml:space="preserve">
IF(OR(ISBLANK(V276),ISBLANK(U276),ISBLANK(W276),V276="N/A",ISBLANK('Dados da OS'!$D$8)),"",
   IF(OR('Dados da OS'!$D$8=Parâmetros!$B$3,'Dados da OS'!$D$8=Parâmetros!$B$4),
      IF(OR(AND(V276="INM",AG276&lt;&gt;"VF"),AND(AG276="VF",V276&lt;&gt;"INM")),"",
        IF(AND(V276="INM",AG276="VF"),IF(ISBLANK(AB276),"",AF276*AB276),
        IF('Dados da OS'!$D$8=Parâmetros!$B$4,
           IF(OR(V276="CE",V276="EE"),4,IF(V276="SE",5,IF(V276="ALI",7,IF(V276="AIE",5,"")))),
        IF('Dados da OS'!$D$8=Parâmetros!$B$3,
           IF(OR(ISBLANK(X276),ISBLANK(Z276)),"",
              IF(V276="ALI",IF(AE276="L",7,IF(AE276="A",10,15)),
                 IF(V276="AIE",IF(AE276="L",5,IF(AE276="A",7,10)),
                    IF(V276="SE",IF(AE276="L",4,IF(AE276="A",5,7)),
                       IF(OR(V276="EE",V276="CE"),IF(AE276="L",3,IF(AE276="A",4,6)),""))))))))),
   IF('Dados da OS'!$D$8=Parâmetros!$B$5,
      IF(OR(AND(V276="INM",AG276&lt;&gt;"VF"),AND(AG276="VF",V276&lt;&gt;"INM")),"",
         IF(V276="INM",IF(AG276="VF",AF276*AB276,""),
            IF(V276="PE",4.6,
            IF(V276="AL",7,"")))),
   IF('Dados da OS'!$D$8=Parâmetros!$B$6,
      IF(V276="ALI",35,IF(V276="AIE",15,"")),""))
    )
)</f>
        <v/>
      </c>
      <c r="AJ276" s="82" t="str">
        <f t="shared" si="34"/>
        <v/>
      </c>
      <c r="AK276" s="84"/>
      <c r="AL276" s="85" t="s">
        <v>21</v>
      </c>
      <c r="AM276" s="86"/>
      <c r="AN276" s="85"/>
      <c r="AO276" s="87"/>
      <c r="AP276" s="85"/>
      <c r="AQ276" s="86"/>
      <c r="AR276" s="85"/>
    </row>
    <row r="277" spans="1:44" ht="15.75" customHeight="1">
      <c r="A277" s="54"/>
      <c r="B277" s="100"/>
      <c r="C277" s="55"/>
      <c r="D277" s="55"/>
      <c r="E277" s="56"/>
      <c r="F277" s="55"/>
      <c r="G277" s="56"/>
      <c r="H277" s="55"/>
      <c r="I277" s="64"/>
      <c r="J277" s="57" t="str">
        <f t="shared" si="29"/>
        <v/>
      </c>
      <c r="K277" s="57" t="str">
        <f t="shared" si="30"/>
        <v/>
      </c>
      <c r="L277" s="57" t="str">
        <f xml:space="preserve">
IF(OR('Dados da OS'!$D$8=Parâmetros!$B$3,'Dados da OS'!$D$8=Parâmetros!$B$4),
  IF(OR(ISBLANK(D277),ISBLANK(F277)),
     IF(OR(B277="ALI",B277="AIE"),"L",IF(ISBLANK(B277),"","A")),
     IF(B277="EE",IF(F277&gt;=3,IF(D277&gt;=5,"H","A"),
     IF(F277&gt;=2,IF(D277&gt;=16,"H",IF(D277&lt;=4,"L","A")),IF(D277&lt;=15,"L","A"))),
     IF(OR(B277="SE",B277="CE"),IF(F277&gt;=4,IF(D277&gt;=6,"H","A"),IF(F277&gt;=2,IF(D277&gt;=20,"H",IF(D277&lt;=5,"L","A")),IF(D277&lt;=19,"L","A"))),
     IF(OR(B277="ALI",B277="AIE"),IF(F277&gt;=6,IF(D277&gt;=20,"H","A"),IF(F277&gt;=2,IF(D277&gt;=51,"H",IF(D277&lt;=19,"L","A")),IF(D277&lt;=50,"L","A"))))))),
IF('Dados da OS'!$D$8=Parâmetros!$B$6,"Indicativa",
IF('Dados da OS'!$D$8=Parâmetros!$B$5,"PFS","")))</f>
        <v/>
      </c>
      <c r="M277" s="57">
        <f>IFERROR(VLOOKUP(C277,'Fatores de Impacto e INMs'!$A$3:$D$32,3,0),1)</f>
        <v>1</v>
      </c>
      <c r="N277" s="57">
        <f>IFERROR(VLOOKUP(C277,'Fatores de Impacto e INMs'!$A$3:$E$32,5,0),1)</f>
        <v>1</v>
      </c>
      <c r="O277" s="63" t="str">
        <f xml:space="preserve">
IF(OR('Dados da OS'!$D$8="Selecione o tipo da contagem",ISBLANK('Dados da OS'!$D$8),B277="INM",B277="N/A",ISBLANK(B277),ISBLANK(C277),N277="VF"),"-",
   IF('Dados da OS'!$D$8=Parâmetros!$B$3,
      IF(OR(ISBLANK(D277),ISBLANK(F277)),"-",
         IF(L277="L","Baixa",IF(L277="A","Média",IF(L277="H","Alta","-")))),
      IF('Dados da OS'!$D$8=Parâmetros!$B$4,
         IF(OR(B277="ALI",B277="AIE"),"Baixa",IF(OR(B277="EE",B277="SE",B277="CE"),"Média","-")),
         IF(OR('Dados da OS'!$D$8=Parâmetros!$B$5,'Dados da OS'!$D$8=Parâmetros!$B$6),"-"))))</f>
        <v>-</v>
      </c>
      <c r="P277" s="59" t="str">
        <f xml:space="preserve">
IF(OR(ISBLANK(B277),ISBLANK(C277),B277="N/A",ISBLANK('Dados da OS'!$D$8)),"",
   IF(OR('Dados da OS'!$D$8=Parâmetros!$B$3,'Dados da OS'!$D$8=Parâmetros!$B$4),
      IF(OR(AND(B277="INM",N277&lt;&gt;"VF"),AND(N277="VF",B277&lt;&gt;"INM")),"",
        IF(AND(B277="INM",N277="VF"),IF(ISBLANK(H277),"",M277*H277),
        IF('Dados da OS'!$D$8=Parâmetros!$B$4,
           IF(OR(B277="CE",B277="EE"),4,IF(B277="SE",5,IF(B277="ALI",7,IF(B277="AIE",5,"")))),
        IF('Dados da OS'!$D$8=Parâmetros!$B$3,
           IF(OR(ISBLANK(D277),ISBLANK(F277)),"",
              IF(B277="ALI",IF(L277="L",7,IF(L277="A",10,15)),
                 IF(B277="AIE",IF(L277="L",5,IF(L277="A",7,10)),
                    IF(B277="SE",IF(L277="L",4,IF(L277="A",5,7)),
                       IF(OR(B277="EE",B277="CE"),IF(L277="L",3,IF(L277="A",4,6)),""))))))))),
   IF('Dados da OS'!$D$8=Parâmetros!$B$5,
      IF(OR(AND(B277="INM",N277&lt;&gt;"VF"),AND(N277="VF",B277&lt;&gt;"INM")),"",
         IF(B277="INM",IF(N277="VF",M277*H277,""),
            IF(B277="PE",4.6,
            IF(B277="AL",7,"")))),
   IF('Dados da OS'!$D$8=Parâmetros!$B$6,
      IF(B277="ALI",35,IF(B277="AIE",15,"")),""))
    )
)</f>
        <v/>
      </c>
      <c r="Q277" s="60" t="str">
        <f t="shared" si="31"/>
        <v/>
      </c>
      <c r="R277" s="61"/>
      <c r="S277" s="62"/>
      <c r="T277" s="80" t="s">
        <v>21</v>
      </c>
      <c r="U277" s="81"/>
      <c r="V277" s="99"/>
      <c r="W277" s="55"/>
      <c r="X277" s="55"/>
      <c r="Y277" s="56"/>
      <c r="Z277" s="55"/>
      <c r="AA277" s="56"/>
      <c r="AB277" s="55"/>
      <c r="AC277" s="57" t="str">
        <f t="shared" si="32"/>
        <v/>
      </c>
      <c r="AD277" s="57" t="str">
        <f t="shared" si="33"/>
        <v/>
      </c>
      <c r="AE277" s="57" t="str">
        <f xml:space="preserve">
IF(OR('Dados da OS'!$D$8=Parâmetros!$B$3,'Dados da OS'!$D$8=Parâmetros!$B$4),
  IF(OR(ISBLANK(X277),ISBLANK(Z277)),
     IF(OR(V277="ALI",V277="AIE"),"L",IF(ISBLANK(V277),"","A")),
     IF(V277="EE",IF(Z277&gt;=3,IF(X277&gt;=5,"H","A"),
     IF(Z277&gt;=2,IF(X277&gt;=16,"H",IF(X277&lt;=4,"L","A")),IF(X277&lt;=15,"L","A"))),
     IF(OR(V277="SE",V277="CE"),IF(Z277&gt;=4,IF(X277&gt;=6,"H","A"),IF(Z277&gt;=2,IF(X277&gt;=20,"H",IF(X277&lt;=5,"L","A")),IF(X277&lt;=19,"L","A"))),
     IF(OR(V277="ALI",V277="AIE"),IF(Z277&gt;=6,IF(X277&gt;=20,"H","A"),IF(Z277&gt;=2,IF(X277&gt;=51,"H",IF(X277&lt;=19,"L","A")),IF(X277&lt;=50,"L","A"))))))),
IF('Dados da OS'!$D$8=Parâmetros!$B$6,"Indicativa",
IF('Dados da OS'!$D$8=Parâmetros!$B$5,"PFS","")))</f>
        <v/>
      </c>
      <c r="AF277" s="57">
        <f>IFERROR(VLOOKUP(W277,'Fatores de Impacto e INMs'!$A$3:$D$32,3,0),1)</f>
        <v>1</v>
      </c>
      <c r="AG277" s="57">
        <f>IFERROR(VLOOKUP(W277,'Fatores de Impacto e INMs'!$A$3:$E$32,5,0),1)</f>
        <v>1</v>
      </c>
      <c r="AH277" s="82" t="str">
        <f xml:space="preserve">
IF(OR('Dados da OS'!$D$8="Selecione o tipo da contagem",ISBLANK('Dados da OS'!$D$8),V277="INM",V277="N/A",ISBLANK(V277),ISBLANK(W277),AG277="VF"),"-",
   IF('Dados da OS'!$D$8=Parâmetros!$B$3,
      IF(OR(ISBLANK(X277),ISBLANK(Z277)),"-",
         IF(AE277="L","Baixa",IF(AE277="A","Média",IF(AE277="H","Alta","-")))),
      IF('Dados da OS'!$D$8=Parâmetros!$B$4,
         IF(OR(V277="ALI",V277="AIE"),"Baixa",IF(OR(V277="EE",V277="SE",V277="CE"),"Média","-")),
         IF(OR('Dados da OS'!$D$8=Parâmetros!$B$5,'Dados da OS'!$D$8=Parâmetros!$B$6),"-"))))</f>
        <v>-</v>
      </c>
      <c r="AI277" s="83" t="str">
        <f xml:space="preserve">
IF(OR(ISBLANK(V277),ISBLANK(U277),ISBLANK(W277),V277="N/A",ISBLANK('Dados da OS'!$D$8)),"",
   IF(OR('Dados da OS'!$D$8=Parâmetros!$B$3,'Dados da OS'!$D$8=Parâmetros!$B$4),
      IF(OR(AND(V277="INM",AG277&lt;&gt;"VF"),AND(AG277="VF",V277&lt;&gt;"INM")),"",
        IF(AND(V277="INM",AG277="VF"),IF(ISBLANK(AB277),"",AF277*AB277),
        IF('Dados da OS'!$D$8=Parâmetros!$B$4,
           IF(OR(V277="CE",V277="EE"),4,IF(V277="SE",5,IF(V277="ALI",7,IF(V277="AIE",5,"")))),
        IF('Dados da OS'!$D$8=Parâmetros!$B$3,
           IF(OR(ISBLANK(X277),ISBLANK(Z277)),"",
              IF(V277="ALI",IF(AE277="L",7,IF(AE277="A",10,15)),
                 IF(V277="AIE",IF(AE277="L",5,IF(AE277="A",7,10)),
                    IF(V277="SE",IF(AE277="L",4,IF(AE277="A",5,7)),
                       IF(OR(V277="EE",V277="CE"),IF(AE277="L",3,IF(AE277="A",4,6)),""))))))))),
   IF('Dados da OS'!$D$8=Parâmetros!$B$5,
      IF(OR(AND(V277="INM",AG277&lt;&gt;"VF"),AND(AG277="VF",V277&lt;&gt;"INM")),"",
         IF(V277="INM",IF(AG277="VF",AF277*AB277,""),
            IF(V277="PE",4.6,
            IF(V277="AL",7,"")))),
   IF('Dados da OS'!$D$8=Parâmetros!$B$6,
      IF(V277="ALI",35,IF(V277="AIE",15,"")),""))
    )
)</f>
        <v/>
      </c>
      <c r="AJ277" s="82" t="str">
        <f t="shared" si="34"/>
        <v/>
      </c>
      <c r="AK277" s="84"/>
      <c r="AL277" s="85" t="s">
        <v>21</v>
      </c>
      <c r="AM277" s="86"/>
      <c r="AN277" s="85"/>
      <c r="AO277" s="87"/>
      <c r="AP277" s="85"/>
      <c r="AQ277" s="86"/>
      <c r="AR277" s="85"/>
    </row>
    <row r="278" spans="1:44" ht="15.75" customHeight="1">
      <c r="A278" s="54"/>
      <c r="B278" s="100"/>
      <c r="C278" s="55"/>
      <c r="D278" s="55"/>
      <c r="E278" s="56"/>
      <c r="F278" s="55"/>
      <c r="G278" s="56"/>
      <c r="H278" s="55"/>
      <c r="I278" s="64"/>
      <c r="J278" s="57" t="str">
        <f t="shared" si="29"/>
        <v/>
      </c>
      <c r="K278" s="57" t="str">
        <f t="shared" si="30"/>
        <v/>
      </c>
      <c r="L278" s="57" t="str">
        <f xml:space="preserve">
IF(OR('Dados da OS'!$D$8=Parâmetros!$B$3,'Dados da OS'!$D$8=Parâmetros!$B$4),
  IF(OR(ISBLANK(D278),ISBLANK(F278)),
     IF(OR(B278="ALI",B278="AIE"),"L",IF(ISBLANK(B278),"","A")),
     IF(B278="EE",IF(F278&gt;=3,IF(D278&gt;=5,"H","A"),
     IF(F278&gt;=2,IF(D278&gt;=16,"H",IF(D278&lt;=4,"L","A")),IF(D278&lt;=15,"L","A"))),
     IF(OR(B278="SE",B278="CE"),IF(F278&gt;=4,IF(D278&gt;=6,"H","A"),IF(F278&gt;=2,IF(D278&gt;=20,"H",IF(D278&lt;=5,"L","A")),IF(D278&lt;=19,"L","A"))),
     IF(OR(B278="ALI",B278="AIE"),IF(F278&gt;=6,IF(D278&gt;=20,"H","A"),IF(F278&gt;=2,IF(D278&gt;=51,"H",IF(D278&lt;=19,"L","A")),IF(D278&lt;=50,"L","A"))))))),
IF('Dados da OS'!$D$8=Parâmetros!$B$6,"Indicativa",
IF('Dados da OS'!$D$8=Parâmetros!$B$5,"PFS","")))</f>
        <v/>
      </c>
      <c r="M278" s="57">
        <f>IFERROR(VLOOKUP(C278,'Fatores de Impacto e INMs'!$A$3:$D$32,3,0),1)</f>
        <v>1</v>
      </c>
      <c r="N278" s="57">
        <f>IFERROR(VLOOKUP(C278,'Fatores de Impacto e INMs'!$A$3:$E$32,5,0),1)</f>
        <v>1</v>
      </c>
      <c r="O278" s="63" t="str">
        <f xml:space="preserve">
IF(OR('Dados da OS'!$D$8="Selecione o tipo da contagem",ISBLANK('Dados da OS'!$D$8),B278="INM",B278="N/A",ISBLANK(B278),ISBLANK(C278),N278="VF"),"-",
   IF('Dados da OS'!$D$8=Parâmetros!$B$3,
      IF(OR(ISBLANK(D278),ISBLANK(F278)),"-",
         IF(L278="L","Baixa",IF(L278="A","Média",IF(L278="H","Alta","-")))),
      IF('Dados da OS'!$D$8=Parâmetros!$B$4,
         IF(OR(B278="ALI",B278="AIE"),"Baixa",IF(OR(B278="EE",B278="SE",B278="CE"),"Média","-")),
         IF(OR('Dados da OS'!$D$8=Parâmetros!$B$5,'Dados da OS'!$D$8=Parâmetros!$B$6),"-"))))</f>
        <v>-</v>
      </c>
      <c r="P278" s="59" t="str">
        <f xml:space="preserve">
IF(OR(ISBLANK(B278),ISBLANK(C278),B278="N/A",ISBLANK('Dados da OS'!$D$8)),"",
   IF(OR('Dados da OS'!$D$8=Parâmetros!$B$3,'Dados da OS'!$D$8=Parâmetros!$B$4),
      IF(OR(AND(B278="INM",N278&lt;&gt;"VF"),AND(N278="VF",B278&lt;&gt;"INM")),"",
        IF(AND(B278="INM",N278="VF"),IF(ISBLANK(H278),"",M278*H278),
        IF('Dados da OS'!$D$8=Parâmetros!$B$4,
           IF(OR(B278="CE",B278="EE"),4,IF(B278="SE",5,IF(B278="ALI",7,IF(B278="AIE",5,"")))),
        IF('Dados da OS'!$D$8=Parâmetros!$B$3,
           IF(OR(ISBLANK(D278),ISBLANK(F278)),"",
              IF(B278="ALI",IF(L278="L",7,IF(L278="A",10,15)),
                 IF(B278="AIE",IF(L278="L",5,IF(L278="A",7,10)),
                    IF(B278="SE",IF(L278="L",4,IF(L278="A",5,7)),
                       IF(OR(B278="EE",B278="CE"),IF(L278="L",3,IF(L278="A",4,6)),""))))))))),
   IF('Dados da OS'!$D$8=Parâmetros!$B$5,
      IF(OR(AND(B278="INM",N278&lt;&gt;"VF"),AND(N278="VF",B278&lt;&gt;"INM")),"",
         IF(B278="INM",IF(N278="VF",M278*H278,""),
            IF(B278="PE",4.6,
            IF(B278="AL",7,"")))),
   IF('Dados da OS'!$D$8=Parâmetros!$B$6,
      IF(B278="ALI",35,IF(B278="AIE",15,"")),""))
    )
)</f>
        <v/>
      </c>
      <c r="Q278" s="60" t="str">
        <f t="shared" si="31"/>
        <v/>
      </c>
      <c r="R278" s="61"/>
      <c r="S278" s="62"/>
      <c r="T278" s="80" t="s">
        <v>21</v>
      </c>
      <c r="U278" s="81"/>
      <c r="V278" s="99"/>
      <c r="W278" s="55"/>
      <c r="X278" s="55"/>
      <c r="Y278" s="56"/>
      <c r="Z278" s="55"/>
      <c r="AA278" s="56"/>
      <c r="AB278" s="55"/>
      <c r="AC278" s="57" t="str">
        <f t="shared" si="32"/>
        <v/>
      </c>
      <c r="AD278" s="57" t="str">
        <f t="shared" si="33"/>
        <v/>
      </c>
      <c r="AE278" s="57" t="str">
        <f xml:space="preserve">
IF(OR('Dados da OS'!$D$8=Parâmetros!$B$3,'Dados da OS'!$D$8=Parâmetros!$B$4),
  IF(OR(ISBLANK(X278),ISBLANK(Z278)),
     IF(OR(V278="ALI",V278="AIE"),"L",IF(ISBLANK(V278),"","A")),
     IF(V278="EE",IF(Z278&gt;=3,IF(X278&gt;=5,"H","A"),
     IF(Z278&gt;=2,IF(X278&gt;=16,"H",IF(X278&lt;=4,"L","A")),IF(X278&lt;=15,"L","A"))),
     IF(OR(V278="SE",V278="CE"),IF(Z278&gt;=4,IF(X278&gt;=6,"H","A"),IF(Z278&gt;=2,IF(X278&gt;=20,"H",IF(X278&lt;=5,"L","A")),IF(X278&lt;=19,"L","A"))),
     IF(OR(V278="ALI",V278="AIE"),IF(Z278&gt;=6,IF(X278&gt;=20,"H","A"),IF(Z278&gt;=2,IF(X278&gt;=51,"H",IF(X278&lt;=19,"L","A")),IF(X278&lt;=50,"L","A"))))))),
IF('Dados da OS'!$D$8=Parâmetros!$B$6,"Indicativa",
IF('Dados da OS'!$D$8=Parâmetros!$B$5,"PFS","")))</f>
        <v/>
      </c>
      <c r="AF278" s="57">
        <f>IFERROR(VLOOKUP(W278,'Fatores de Impacto e INMs'!$A$3:$D$32,3,0),1)</f>
        <v>1</v>
      </c>
      <c r="AG278" s="57">
        <f>IFERROR(VLOOKUP(W278,'Fatores de Impacto e INMs'!$A$3:$E$32,5,0),1)</f>
        <v>1</v>
      </c>
      <c r="AH278" s="82" t="str">
        <f xml:space="preserve">
IF(OR('Dados da OS'!$D$8="Selecione o tipo da contagem",ISBLANK('Dados da OS'!$D$8),V278="INM",V278="N/A",ISBLANK(V278),ISBLANK(W278),AG278="VF"),"-",
   IF('Dados da OS'!$D$8=Parâmetros!$B$3,
      IF(OR(ISBLANK(X278),ISBLANK(Z278)),"-",
         IF(AE278="L","Baixa",IF(AE278="A","Média",IF(AE278="H","Alta","-")))),
      IF('Dados da OS'!$D$8=Parâmetros!$B$4,
         IF(OR(V278="ALI",V278="AIE"),"Baixa",IF(OR(V278="EE",V278="SE",V278="CE"),"Média","-")),
         IF(OR('Dados da OS'!$D$8=Parâmetros!$B$5,'Dados da OS'!$D$8=Parâmetros!$B$6),"-"))))</f>
        <v>-</v>
      </c>
      <c r="AI278" s="83" t="str">
        <f xml:space="preserve">
IF(OR(ISBLANK(V278),ISBLANK(U278),ISBLANK(W278),V278="N/A",ISBLANK('Dados da OS'!$D$8)),"",
   IF(OR('Dados da OS'!$D$8=Parâmetros!$B$3,'Dados da OS'!$D$8=Parâmetros!$B$4),
      IF(OR(AND(V278="INM",AG278&lt;&gt;"VF"),AND(AG278="VF",V278&lt;&gt;"INM")),"",
        IF(AND(V278="INM",AG278="VF"),IF(ISBLANK(AB278),"",AF278*AB278),
        IF('Dados da OS'!$D$8=Parâmetros!$B$4,
           IF(OR(V278="CE",V278="EE"),4,IF(V278="SE",5,IF(V278="ALI",7,IF(V278="AIE",5,"")))),
        IF('Dados da OS'!$D$8=Parâmetros!$B$3,
           IF(OR(ISBLANK(X278),ISBLANK(Z278)),"",
              IF(V278="ALI",IF(AE278="L",7,IF(AE278="A",10,15)),
                 IF(V278="AIE",IF(AE278="L",5,IF(AE278="A",7,10)),
                    IF(V278="SE",IF(AE278="L",4,IF(AE278="A",5,7)),
                       IF(OR(V278="EE",V278="CE"),IF(AE278="L",3,IF(AE278="A",4,6)),""))))))))),
   IF('Dados da OS'!$D$8=Parâmetros!$B$5,
      IF(OR(AND(V278="INM",AG278&lt;&gt;"VF"),AND(AG278="VF",V278&lt;&gt;"INM")),"",
         IF(V278="INM",IF(AG278="VF",AF278*AB278,""),
            IF(V278="PE",4.6,
            IF(V278="AL",7,"")))),
   IF('Dados da OS'!$D$8=Parâmetros!$B$6,
      IF(V278="ALI",35,IF(V278="AIE",15,"")),""))
    )
)</f>
        <v/>
      </c>
      <c r="AJ278" s="82" t="str">
        <f t="shared" si="34"/>
        <v/>
      </c>
      <c r="AK278" s="84"/>
      <c r="AL278" s="85" t="s">
        <v>21</v>
      </c>
      <c r="AM278" s="86"/>
      <c r="AN278" s="85"/>
      <c r="AO278" s="87"/>
      <c r="AP278" s="85"/>
      <c r="AQ278" s="86"/>
      <c r="AR278" s="85"/>
    </row>
    <row r="279" spans="1:44" ht="15.75" customHeight="1">
      <c r="A279" s="54"/>
      <c r="B279" s="100"/>
      <c r="C279" s="55"/>
      <c r="D279" s="55"/>
      <c r="E279" s="56"/>
      <c r="F279" s="55"/>
      <c r="G279" s="56"/>
      <c r="H279" s="55"/>
      <c r="I279" s="64"/>
      <c r="J279" s="57" t="str">
        <f t="shared" si="29"/>
        <v/>
      </c>
      <c r="K279" s="57" t="str">
        <f t="shared" si="30"/>
        <v/>
      </c>
      <c r="L279" s="57" t="str">
        <f xml:space="preserve">
IF(OR('Dados da OS'!$D$8=Parâmetros!$B$3,'Dados da OS'!$D$8=Parâmetros!$B$4),
  IF(OR(ISBLANK(D279),ISBLANK(F279)),
     IF(OR(B279="ALI",B279="AIE"),"L",IF(ISBLANK(B279),"","A")),
     IF(B279="EE",IF(F279&gt;=3,IF(D279&gt;=5,"H","A"),
     IF(F279&gt;=2,IF(D279&gt;=16,"H",IF(D279&lt;=4,"L","A")),IF(D279&lt;=15,"L","A"))),
     IF(OR(B279="SE",B279="CE"),IF(F279&gt;=4,IF(D279&gt;=6,"H","A"),IF(F279&gt;=2,IF(D279&gt;=20,"H",IF(D279&lt;=5,"L","A")),IF(D279&lt;=19,"L","A"))),
     IF(OR(B279="ALI",B279="AIE"),IF(F279&gt;=6,IF(D279&gt;=20,"H","A"),IF(F279&gt;=2,IF(D279&gt;=51,"H",IF(D279&lt;=19,"L","A")),IF(D279&lt;=50,"L","A"))))))),
IF('Dados da OS'!$D$8=Parâmetros!$B$6,"Indicativa",
IF('Dados da OS'!$D$8=Parâmetros!$B$5,"PFS","")))</f>
        <v/>
      </c>
      <c r="M279" s="57">
        <f>IFERROR(VLOOKUP(C279,'Fatores de Impacto e INMs'!$A$3:$D$32,3,0),1)</f>
        <v>1</v>
      </c>
      <c r="N279" s="57">
        <f>IFERROR(VLOOKUP(C279,'Fatores de Impacto e INMs'!$A$3:$E$32,5,0),1)</f>
        <v>1</v>
      </c>
      <c r="O279" s="63" t="str">
        <f xml:space="preserve">
IF(OR('Dados da OS'!$D$8="Selecione o tipo da contagem",ISBLANK('Dados da OS'!$D$8),B279="INM",B279="N/A",ISBLANK(B279),ISBLANK(C279),N279="VF"),"-",
   IF('Dados da OS'!$D$8=Parâmetros!$B$3,
      IF(OR(ISBLANK(D279),ISBLANK(F279)),"-",
         IF(L279="L","Baixa",IF(L279="A","Média",IF(L279="H","Alta","-")))),
      IF('Dados da OS'!$D$8=Parâmetros!$B$4,
         IF(OR(B279="ALI",B279="AIE"),"Baixa",IF(OR(B279="EE",B279="SE",B279="CE"),"Média","-")),
         IF(OR('Dados da OS'!$D$8=Parâmetros!$B$5,'Dados da OS'!$D$8=Parâmetros!$B$6),"-"))))</f>
        <v>-</v>
      </c>
      <c r="P279" s="59" t="str">
        <f xml:space="preserve">
IF(OR(ISBLANK(B279),ISBLANK(C279),B279="N/A",ISBLANK('Dados da OS'!$D$8)),"",
   IF(OR('Dados da OS'!$D$8=Parâmetros!$B$3,'Dados da OS'!$D$8=Parâmetros!$B$4),
      IF(OR(AND(B279="INM",N279&lt;&gt;"VF"),AND(N279="VF",B279&lt;&gt;"INM")),"",
        IF(AND(B279="INM",N279="VF"),IF(ISBLANK(H279),"",M279*H279),
        IF('Dados da OS'!$D$8=Parâmetros!$B$4,
           IF(OR(B279="CE",B279="EE"),4,IF(B279="SE",5,IF(B279="ALI",7,IF(B279="AIE",5,"")))),
        IF('Dados da OS'!$D$8=Parâmetros!$B$3,
           IF(OR(ISBLANK(D279),ISBLANK(F279)),"",
              IF(B279="ALI",IF(L279="L",7,IF(L279="A",10,15)),
                 IF(B279="AIE",IF(L279="L",5,IF(L279="A",7,10)),
                    IF(B279="SE",IF(L279="L",4,IF(L279="A",5,7)),
                       IF(OR(B279="EE",B279="CE"),IF(L279="L",3,IF(L279="A",4,6)),""))))))))),
   IF('Dados da OS'!$D$8=Parâmetros!$B$5,
      IF(OR(AND(B279="INM",N279&lt;&gt;"VF"),AND(N279="VF",B279&lt;&gt;"INM")),"",
         IF(B279="INM",IF(N279="VF",M279*H279,""),
            IF(B279="PE",4.6,
            IF(B279="AL",7,"")))),
   IF('Dados da OS'!$D$8=Parâmetros!$B$6,
      IF(B279="ALI",35,IF(B279="AIE",15,"")),""))
    )
)</f>
        <v/>
      </c>
      <c r="Q279" s="60" t="str">
        <f t="shared" si="31"/>
        <v/>
      </c>
      <c r="R279" s="61"/>
      <c r="S279" s="62"/>
      <c r="T279" s="80" t="s">
        <v>21</v>
      </c>
      <c r="U279" s="81"/>
      <c r="V279" s="99"/>
      <c r="W279" s="55"/>
      <c r="X279" s="55"/>
      <c r="Y279" s="56"/>
      <c r="Z279" s="55"/>
      <c r="AA279" s="56"/>
      <c r="AB279" s="55"/>
      <c r="AC279" s="57" t="str">
        <f t="shared" si="32"/>
        <v/>
      </c>
      <c r="AD279" s="57" t="str">
        <f t="shared" si="33"/>
        <v/>
      </c>
      <c r="AE279" s="57" t="str">
        <f xml:space="preserve">
IF(OR('Dados da OS'!$D$8=Parâmetros!$B$3,'Dados da OS'!$D$8=Parâmetros!$B$4),
  IF(OR(ISBLANK(X279),ISBLANK(Z279)),
     IF(OR(V279="ALI",V279="AIE"),"L",IF(ISBLANK(V279),"","A")),
     IF(V279="EE",IF(Z279&gt;=3,IF(X279&gt;=5,"H","A"),
     IF(Z279&gt;=2,IF(X279&gt;=16,"H",IF(X279&lt;=4,"L","A")),IF(X279&lt;=15,"L","A"))),
     IF(OR(V279="SE",V279="CE"),IF(Z279&gt;=4,IF(X279&gt;=6,"H","A"),IF(Z279&gt;=2,IF(X279&gt;=20,"H",IF(X279&lt;=5,"L","A")),IF(X279&lt;=19,"L","A"))),
     IF(OR(V279="ALI",V279="AIE"),IF(Z279&gt;=6,IF(X279&gt;=20,"H","A"),IF(Z279&gt;=2,IF(X279&gt;=51,"H",IF(X279&lt;=19,"L","A")),IF(X279&lt;=50,"L","A"))))))),
IF('Dados da OS'!$D$8=Parâmetros!$B$6,"Indicativa",
IF('Dados da OS'!$D$8=Parâmetros!$B$5,"PFS","")))</f>
        <v/>
      </c>
      <c r="AF279" s="57">
        <f>IFERROR(VLOOKUP(W279,'Fatores de Impacto e INMs'!$A$3:$D$32,3,0),1)</f>
        <v>1</v>
      </c>
      <c r="AG279" s="57">
        <f>IFERROR(VLOOKUP(W279,'Fatores de Impacto e INMs'!$A$3:$E$32,5,0),1)</f>
        <v>1</v>
      </c>
      <c r="AH279" s="82" t="str">
        <f xml:space="preserve">
IF(OR('Dados da OS'!$D$8="Selecione o tipo da contagem",ISBLANK('Dados da OS'!$D$8),V279="INM",V279="N/A",ISBLANK(V279),ISBLANK(W279),AG279="VF"),"-",
   IF('Dados da OS'!$D$8=Parâmetros!$B$3,
      IF(OR(ISBLANK(X279),ISBLANK(Z279)),"-",
         IF(AE279="L","Baixa",IF(AE279="A","Média",IF(AE279="H","Alta","-")))),
      IF('Dados da OS'!$D$8=Parâmetros!$B$4,
         IF(OR(V279="ALI",V279="AIE"),"Baixa",IF(OR(V279="EE",V279="SE",V279="CE"),"Média","-")),
         IF(OR('Dados da OS'!$D$8=Parâmetros!$B$5,'Dados da OS'!$D$8=Parâmetros!$B$6),"-"))))</f>
        <v>-</v>
      </c>
      <c r="AI279" s="83" t="str">
        <f xml:space="preserve">
IF(OR(ISBLANK(V279),ISBLANK(U279),ISBLANK(W279),V279="N/A",ISBLANK('Dados da OS'!$D$8)),"",
   IF(OR('Dados da OS'!$D$8=Parâmetros!$B$3,'Dados da OS'!$D$8=Parâmetros!$B$4),
      IF(OR(AND(V279="INM",AG279&lt;&gt;"VF"),AND(AG279="VF",V279&lt;&gt;"INM")),"",
        IF(AND(V279="INM",AG279="VF"),IF(ISBLANK(AB279),"",AF279*AB279),
        IF('Dados da OS'!$D$8=Parâmetros!$B$4,
           IF(OR(V279="CE",V279="EE"),4,IF(V279="SE",5,IF(V279="ALI",7,IF(V279="AIE",5,"")))),
        IF('Dados da OS'!$D$8=Parâmetros!$B$3,
           IF(OR(ISBLANK(X279),ISBLANK(Z279)),"",
              IF(V279="ALI",IF(AE279="L",7,IF(AE279="A",10,15)),
                 IF(V279="AIE",IF(AE279="L",5,IF(AE279="A",7,10)),
                    IF(V279="SE",IF(AE279="L",4,IF(AE279="A",5,7)),
                       IF(OR(V279="EE",V279="CE"),IF(AE279="L",3,IF(AE279="A",4,6)),""))))))))),
   IF('Dados da OS'!$D$8=Parâmetros!$B$5,
      IF(OR(AND(V279="INM",AG279&lt;&gt;"VF"),AND(AG279="VF",V279&lt;&gt;"INM")),"",
         IF(V279="INM",IF(AG279="VF",AF279*AB279,""),
            IF(V279="PE",4.6,
            IF(V279="AL",7,"")))),
   IF('Dados da OS'!$D$8=Parâmetros!$B$6,
      IF(V279="ALI",35,IF(V279="AIE",15,"")),""))
    )
)</f>
        <v/>
      </c>
      <c r="AJ279" s="82" t="str">
        <f t="shared" si="34"/>
        <v/>
      </c>
      <c r="AK279" s="84"/>
      <c r="AL279" s="85" t="s">
        <v>21</v>
      </c>
      <c r="AM279" s="86"/>
      <c r="AN279" s="85"/>
      <c r="AO279" s="87"/>
      <c r="AP279" s="85"/>
      <c r="AQ279" s="86"/>
      <c r="AR279" s="85"/>
    </row>
    <row r="280" spans="1:44" ht="15.75" customHeight="1">
      <c r="A280" s="54"/>
      <c r="B280" s="100"/>
      <c r="C280" s="55"/>
      <c r="D280" s="55"/>
      <c r="E280" s="56"/>
      <c r="F280" s="55"/>
      <c r="G280" s="56"/>
      <c r="H280" s="55"/>
      <c r="I280" s="64"/>
      <c r="J280" s="57" t="str">
        <f t="shared" si="29"/>
        <v/>
      </c>
      <c r="K280" s="57" t="str">
        <f t="shared" si="30"/>
        <v/>
      </c>
      <c r="L280" s="57" t="str">
        <f xml:space="preserve">
IF(OR('Dados da OS'!$D$8=Parâmetros!$B$3,'Dados da OS'!$D$8=Parâmetros!$B$4),
  IF(OR(ISBLANK(D280),ISBLANK(F280)),
     IF(OR(B280="ALI",B280="AIE"),"L",IF(ISBLANK(B280),"","A")),
     IF(B280="EE",IF(F280&gt;=3,IF(D280&gt;=5,"H","A"),
     IF(F280&gt;=2,IF(D280&gt;=16,"H",IF(D280&lt;=4,"L","A")),IF(D280&lt;=15,"L","A"))),
     IF(OR(B280="SE",B280="CE"),IF(F280&gt;=4,IF(D280&gt;=6,"H","A"),IF(F280&gt;=2,IF(D280&gt;=20,"H",IF(D280&lt;=5,"L","A")),IF(D280&lt;=19,"L","A"))),
     IF(OR(B280="ALI",B280="AIE"),IF(F280&gt;=6,IF(D280&gt;=20,"H","A"),IF(F280&gt;=2,IF(D280&gt;=51,"H",IF(D280&lt;=19,"L","A")),IF(D280&lt;=50,"L","A"))))))),
IF('Dados da OS'!$D$8=Parâmetros!$B$6,"Indicativa",
IF('Dados da OS'!$D$8=Parâmetros!$B$5,"PFS","")))</f>
        <v/>
      </c>
      <c r="M280" s="57">
        <f>IFERROR(VLOOKUP(C280,'Fatores de Impacto e INMs'!$A$3:$D$32,3,0),1)</f>
        <v>1</v>
      </c>
      <c r="N280" s="57">
        <f>IFERROR(VLOOKUP(C280,'Fatores de Impacto e INMs'!$A$3:$E$32,5,0),1)</f>
        <v>1</v>
      </c>
      <c r="O280" s="63" t="str">
        <f xml:space="preserve">
IF(OR('Dados da OS'!$D$8="Selecione o tipo da contagem",ISBLANK('Dados da OS'!$D$8),B280="INM",B280="N/A",ISBLANK(B280),ISBLANK(C280),N280="VF"),"-",
   IF('Dados da OS'!$D$8=Parâmetros!$B$3,
      IF(OR(ISBLANK(D280),ISBLANK(F280)),"-",
         IF(L280="L","Baixa",IF(L280="A","Média",IF(L280="H","Alta","-")))),
      IF('Dados da OS'!$D$8=Parâmetros!$B$4,
         IF(OR(B280="ALI",B280="AIE"),"Baixa",IF(OR(B280="EE",B280="SE",B280="CE"),"Média","-")),
         IF(OR('Dados da OS'!$D$8=Parâmetros!$B$5,'Dados da OS'!$D$8=Parâmetros!$B$6),"-"))))</f>
        <v>-</v>
      </c>
      <c r="P280" s="59" t="str">
        <f xml:space="preserve">
IF(OR(ISBLANK(B280),ISBLANK(C280),B280="N/A",ISBLANK('Dados da OS'!$D$8)),"",
   IF(OR('Dados da OS'!$D$8=Parâmetros!$B$3,'Dados da OS'!$D$8=Parâmetros!$B$4),
      IF(OR(AND(B280="INM",N280&lt;&gt;"VF"),AND(N280="VF",B280&lt;&gt;"INM")),"",
        IF(AND(B280="INM",N280="VF"),IF(ISBLANK(H280),"",M280*H280),
        IF('Dados da OS'!$D$8=Parâmetros!$B$4,
           IF(OR(B280="CE",B280="EE"),4,IF(B280="SE",5,IF(B280="ALI",7,IF(B280="AIE",5,"")))),
        IF('Dados da OS'!$D$8=Parâmetros!$B$3,
           IF(OR(ISBLANK(D280),ISBLANK(F280)),"",
              IF(B280="ALI",IF(L280="L",7,IF(L280="A",10,15)),
                 IF(B280="AIE",IF(L280="L",5,IF(L280="A",7,10)),
                    IF(B280="SE",IF(L280="L",4,IF(L280="A",5,7)),
                       IF(OR(B280="EE",B280="CE"),IF(L280="L",3,IF(L280="A",4,6)),""))))))))),
   IF('Dados da OS'!$D$8=Parâmetros!$B$5,
      IF(OR(AND(B280="INM",N280&lt;&gt;"VF"),AND(N280="VF",B280&lt;&gt;"INM")),"",
         IF(B280="INM",IF(N280="VF",M280*H280,""),
            IF(B280="PE",4.6,
            IF(B280="AL",7,"")))),
   IF('Dados da OS'!$D$8=Parâmetros!$B$6,
      IF(B280="ALI",35,IF(B280="AIE",15,"")),""))
    )
)</f>
        <v/>
      </c>
      <c r="Q280" s="60" t="str">
        <f t="shared" si="31"/>
        <v/>
      </c>
      <c r="R280" s="61"/>
      <c r="S280" s="62"/>
      <c r="T280" s="80" t="s">
        <v>21</v>
      </c>
      <c r="U280" s="81"/>
      <c r="V280" s="99"/>
      <c r="W280" s="55"/>
      <c r="X280" s="55"/>
      <c r="Y280" s="56"/>
      <c r="Z280" s="55"/>
      <c r="AA280" s="56"/>
      <c r="AB280" s="55"/>
      <c r="AC280" s="57" t="str">
        <f t="shared" si="32"/>
        <v/>
      </c>
      <c r="AD280" s="57" t="str">
        <f t="shared" si="33"/>
        <v/>
      </c>
      <c r="AE280" s="57" t="str">
        <f xml:space="preserve">
IF(OR('Dados da OS'!$D$8=Parâmetros!$B$3,'Dados da OS'!$D$8=Parâmetros!$B$4),
  IF(OR(ISBLANK(X280),ISBLANK(Z280)),
     IF(OR(V280="ALI",V280="AIE"),"L",IF(ISBLANK(V280),"","A")),
     IF(V280="EE",IF(Z280&gt;=3,IF(X280&gt;=5,"H","A"),
     IF(Z280&gt;=2,IF(X280&gt;=16,"H",IF(X280&lt;=4,"L","A")),IF(X280&lt;=15,"L","A"))),
     IF(OR(V280="SE",V280="CE"),IF(Z280&gt;=4,IF(X280&gt;=6,"H","A"),IF(Z280&gt;=2,IF(X280&gt;=20,"H",IF(X280&lt;=5,"L","A")),IF(X280&lt;=19,"L","A"))),
     IF(OR(V280="ALI",V280="AIE"),IF(Z280&gt;=6,IF(X280&gt;=20,"H","A"),IF(Z280&gt;=2,IF(X280&gt;=51,"H",IF(X280&lt;=19,"L","A")),IF(X280&lt;=50,"L","A"))))))),
IF('Dados da OS'!$D$8=Parâmetros!$B$6,"Indicativa",
IF('Dados da OS'!$D$8=Parâmetros!$B$5,"PFS","")))</f>
        <v/>
      </c>
      <c r="AF280" s="57">
        <f>IFERROR(VLOOKUP(W280,'Fatores de Impacto e INMs'!$A$3:$D$32,3,0),1)</f>
        <v>1</v>
      </c>
      <c r="AG280" s="57">
        <f>IFERROR(VLOOKUP(W280,'Fatores de Impacto e INMs'!$A$3:$E$32,5,0),1)</f>
        <v>1</v>
      </c>
      <c r="AH280" s="82" t="str">
        <f xml:space="preserve">
IF(OR('Dados da OS'!$D$8="Selecione o tipo da contagem",ISBLANK('Dados da OS'!$D$8),V280="INM",V280="N/A",ISBLANK(V280),ISBLANK(W280),AG280="VF"),"-",
   IF('Dados da OS'!$D$8=Parâmetros!$B$3,
      IF(OR(ISBLANK(X280),ISBLANK(Z280)),"-",
         IF(AE280="L","Baixa",IF(AE280="A","Média",IF(AE280="H","Alta","-")))),
      IF('Dados da OS'!$D$8=Parâmetros!$B$4,
         IF(OR(V280="ALI",V280="AIE"),"Baixa",IF(OR(V280="EE",V280="SE",V280="CE"),"Média","-")),
         IF(OR('Dados da OS'!$D$8=Parâmetros!$B$5,'Dados da OS'!$D$8=Parâmetros!$B$6),"-"))))</f>
        <v>-</v>
      </c>
      <c r="AI280" s="83" t="str">
        <f xml:space="preserve">
IF(OR(ISBLANK(V280),ISBLANK(U280),ISBLANK(W280),V280="N/A",ISBLANK('Dados da OS'!$D$8)),"",
   IF(OR('Dados da OS'!$D$8=Parâmetros!$B$3,'Dados da OS'!$D$8=Parâmetros!$B$4),
      IF(OR(AND(V280="INM",AG280&lt;&gt;"VF"),AND(AG280="VF",V280&lt;&gt;"INM")),"",
        IF(AND(V280="INM",AG280="VF"),IF(ISBLANK(AB280),"",AF280*AB280),
        IF('Dados da OS'!$D$8=Parâmetros!$B$4,
           IF(OR(V280="CE",V280="EE"),4,IF(V280="SE",5,IF(V280="ALI",7,IF(V280="AIE",5,"")))),
        IF('Dados da OS'!$D$8=Parâmetros!$B$3,
           IF(OR(ISBLANK(X280),ISBLANK(Z280)),"",
              IF(V280="ALI",IF(AE280="L",7,IF(AE280="A",10,15)),
                 IF(V280="AIE",IF(AE280="L",5,IF(AE280="A",7,10)),
                    IF(V280="SE",IF(AE280="L",4,IF(AE280="A",5,7)),
                       IF(OR(V280="EE",V280="CE"),IF(AE280="L",3,IF(AE280="A",4,6)),""))))))))),
   IF('Dados da OS'!$D$8=Parâmetros!$B$5,
      IF(OR(AND(V280="INM",AG280&lt;&gt;"VF"),AND(AG280="VF",V280&lt;&gt;"INM")),"",
         IF(V280="INM",IF(AG280="VF",AF280*AB280,""),
            IF(V280="PE",4.6,
            IF(V280="AL",7,"")))),
   IF('Dados da OS'!$D$8=Parâmetros!$B$6,
      IF(V280="ALI",35,IF(V280="AIE",15,"")),""))
    )
)</f>
        <v/>
      </c>
      <c r="AJ280" s="82" t="str">
        <f t="shared" si="34"/>
        <v/>
      </c>
      <c r="AK280" s="84"/>
      <c r="AL280" s="85" t="s">
        <v>21</v>
      </c>
      <c r="AM280" s="86"/>
      <c r="AN280" s="85"/>
      <c r="AO280" s="87"/>
      <c r="AP280" s="85"/>
      <c r="AQ280" s="86"/>
      <c r="AR280" s="85"/>
    </row>
    <row r="281" spans="1:44" ht="15.75" customHeight="1">
      <c r="A281" s="54"/>
      <c r="B281" s="100"/>
      <c r="C281" s="55"/>
      <c r="D281" s="55"/>
      <c r="E281" s="56"/>
      <c r="F281" s="55"/>
      <c r="G281" s="56"/>
      <c r="H281" s="55"/>
      <c r="I281" s="64"/>
      <c r="J281" s="57" t="str">
        <f t="shared" si="29"/>
        <v/>
      </c>
      <c r="K281" s="57" t="str">
        <f t="shared" si="30"/>
        <v/>
      </c>
      <c r="L281" s="57" t="str">
        <f xml:space="preserve">
IF(OR('Dados da OS'!$D$8=Parâmetros!$B$3,'Dados da OS'!$D$8=Parâmetros!$B$4),
  IF(OR(ISBLANK(D281),ISBLANK(F281)),
     IF(OR(B281="ALI",B281="AIE"),"L",IF(ISBLANK(B281),"","A")),
     IF(B281="EE",IF(F281&gt;=3,IF(D281&gt;=5,"H","A"),
     IF(F281&gt;=2,IF(D281&gt;=16,"H",IF(D281&lt;=4,"L","A")),IF(D281&lt;=15,"L","A"))),
     IF(OR(B281="SE",B281="CE"),IF(F281&gt;=4,IF(D281&gt;=6,"H","A"),IF(F281&gt;=2,IF(D281&gt;=20,"H",IF(D281&lt;=5,"L","A")),IF(D281&lt;=19,"L","A"))),
     IF(OR(B281="ALI",B281="AIE"),IF(F281&gt;=6,IF(D281&gt;=20,"H","A"),IF(F281&gt;=2,IF(D281&gt;=51,"H",IF(D281&lt;=19,"L","A")),IF(D281&lt;=50,"L","A"))))))),
IF('Dados da OS'!$D$8=Parâmetros!$B$6,"Indicativa",
IF('Dados da OS'!$D$8=Parâmetros!$B$5,"PFS","")))</f>
        <v/>
      </c>
      <c r="M281" s="57">
        <f>IFERROR(VLOOKUP(C281,'Fatores de Impacto e INMs'!$A$3:$D$32,3,0),1)</f>
        <v>1</v>
      </c>
      <c r="N281" s="57">
        <f>IFERROR(VLOOKUP(C281,'Fatores de Impacto e INMs'!$A$3:$E$32,5,0),1)</f>
        <v>1</v>
      </c>
      <c r="O281" s="63" t="str">
        <f xml:space="preserve">
IF(OR('Dados da OS'!$D$8="Selecione o tipo da contagem",ISBLANK('Dados da OS'!$D$8),B281="INM",B281="N/A",ISBLANK(B281),ISBLANK(C281),N281="VF"),"-",
   IF('Dados da OS'!$D$8=Parâmetros!$B$3,
      IF(OR(ISBLANK(D281),ISBLANK(F281)),"-",
         IF(L281="L","Baixa",IF(L281="A","Média",IF(L281="H","Alta","-")))),
      IF('Dados da OS'!$D$8=Parâmetros!$B$4,
         IF(OR(B281="ALI",B281="AIE"),"Baixa",IF(OR(B281="EE",B281="SE",B281="CE"),"Média","-")),
         IF(OR('Dados da OS'!$D$8=Parâmetros!$B$5,'Dados da OS'!$D$8=Parâmetros!$B$6),"-"))))</f>
        <v>-</v>
      </c>
      <c r="P281" s="59" t="str">
        <f xml:space="preserve">
IF(OR(ISBLANK(B281),ISBLANK(C281),B281="N/A",ISBLANK('Dados da OS'!$D$8)),"",
   IF(OR('Dados da OS'!$D$8=Parâmetros!$B$3,'Dados da OS'!$D$8=Parâmetros!$B$4),
      IF(OR(AND(B281="INM",N281&lt;&gt;"VF"),AND(N281="VF",B281&lt;&gt;"INM")),"",
        IF(AND(B281="INM",N281="VF"),IF(ISBLANK(H281),"",M281*H281),
        IF('Dados da OS'!$D$8=Parâmetros!$B$4,
           IF(OR(B281="CE",B281="EE"),4,IF(B281="SE",5,IF(B281="ALI",7,IF(B281="AIE",5,"")))),
        IF('Dados da OS'!$D$8=Parâmetros!$B$3,
           IF(OR(ISBLANK(D281),ISBLANK(F281)),"",
              IF(B281="ALI",IF(L281="L",7,IF(L281="A",10,15)),
                 IF(B281="AIE",IF(L281="L",5,IF(L281="A",7,10)),
                    IF(B281="SE",IF(L281="L",4,IF(L281="A",5,7)),
                       IF(OR(B281="EE",B281="CE"),IF(L281="L",3,IF(L281="A",4,6)),""))))))))),
   IF('Dados da OS'!$D$8=Parâmetros!$B$5,
      IF(OR(AND(B281="INM",N281&lt;&gt;"VF"),AND(N281="VF",B281&lt;&gt;"INM")),"",
         IF(B281="INM",IF(N281="VF",M281*H281,""),
            IF(B281="PE",4.6,
            IF(B281="AL",7,"")))),
   IF('Dados da OS'!$D$8=Parâmetros!$B$6,
      IF(B281="ALI",35,IF(B281="AIE",15,"")),""))
    )
)</f>
        <v/>
      </c>
      <c r="Q281" s="60" t="str">
        <f t="shared" si="31"/>
        <v/>
      </c>
      <c r="R281" s="61"/>
      <c r="S281" s="62"/>
      <c r="T281" s="80" t="s">
        <v>21</v>
      </c>
      <c r="U281" s="81"/>
      <c r="V281" s="99"/>
      <c r="W281" s="55"/>
      <c r="X281" s="55"/>
      <c r="Y281" s="56"/>
      <c r="Z281" s="55"/>
      <c r="AA281" s="56"/>
      <c r="AB281" s="55"/>
      <c r="AC281" s="57" t="str">
        <f t="shared" si="32"/>
        <v/>
      </c>
      <c r="AD281" s="57" t="str">
        <f t="shared" si="33"/>
        <v/>
      </c>
      <c r="AE281" s="57" t="str">
        <f xml:space="preserve">
IF(OR('Dados da OS'!$D$8=Parâmetros!$B$3,'Dados da OS'!$D$8=Parâmetros!$B$4),
  IF(OR(ISBLANK(X281),ISBLANK(Z281)),
     IF(OR(V281="ALI",V281="AIE"),"L",IF(ISBLANK(V281),"","A")),
     IF(V281="EE",IF(Z281&gt;=3,IF(X281&gt;=5,"H","A"),
     IF(Z281&gt;=2,IF(X281&gt;=16,"H",IF(X281&lt;=4,"L","A")),IF(X281&lt;=15,"L","A"))),
     IF(OR(V281="SE",V281="CE"),IF(Z281&gt;=4,IF(X281&gt;=6,"H","A"),IF(Z281&gt;=2,IF(X281&gt;=20,"H",IF(X281&lt;=5,"L","A")),IF(X281&lt;=19,"L","A"))),
     IF(OR(V281="ALI",V281="AIE"),IF(Z281&gt;=6,IF(X281&gt;=20,"H","A"),IF(Z281&gt;=2,IF(X281&gt;=51,"H",IF(X281&lt;=19,"L","A")),IF(X281&lt;=50,"L","A"))))))),
IF('Dados da OS'!$D$8=Parâmetros!$B$6,"Indicativa",
IF('Dados da OS'!$D$8=Parâmetros!$B$5,"PFS","")))</f>
        <v/>
      </c>
      <c r="AF281" s="57">
        <f>IFERROR(VLOOKUP(W281,'Fatores de Impacto e INMs'!$A$3:$D$32,3,0),1)</f>
        <v>1</v>
      </c>
      <c r="AG281" s="57">
        <f>IFERROR(VLOOKUP(W281,'Fatores de Impacto e INMs'!$A$3:$E$32,5,0),1)</f>
        <v>1</v>
      </c>
      <c r="AH281" s="82" t="str">
        <f xml:space="preserve">
IF(OR('Dados da OS'!$D$8="Selecione o tipo da contagem",ISBLANK('Dados da OS'!$D$8),V281="INM",V281="N/A",ISBLANK(V281),ISBLANK(W281),AG281="VF"),"-",
   IF('Dados da OS'!$D$8=Parâmetros!$B$3,
      IF(OR(ISBLANK(X281),ISBLANK(Z281)),"-",
         IF(AE281="L","Baixa",IF(AE281="A","Média",IF(AE281="H","Alta","-")))),
      IF('Dados da OS'!$D$8=Parâmetros!$B$4,
         IF(OR(V281="ALI",V281="AIE"),"Baixa",IF(OR(V281="EE",V281="SE",V281="CE"),"Média","-")),
         IF(OR('Dados da OS'!$D$8=Parâmetros!$B$5,'Dados da OS'!$D$8=Parâmetros!$B$6),"-"))))</f>
        <v>-</v>
      </c>
      <c r="AI281" s="83" t="str">
        <f xml:space="preserve">
IF(OR(ISBLANK(V281),ISBLANK(U281),ISBLANK(W281),V281="N/A",ISBLANK('Dados da OS'!$D$8)),"",
   IF(OR('Dados da OS'!$D$8=Parâmetros!$B$3,'Dados da OS'!$D$8=Parâmetros!$B$4),
      IF(OR(AND(V281="INM",AG281&lt;&gt;"VF"),AND(AG281="VF",V281&lt;&gt;"INM")),"",
        IF(AND(V281="INM",AG281="VF"),IF(ISBLANK(AB281),"",AF281*AB281),
        IF('Dados da OS'!$D$8=Parâmetros!$B$4,
           IF(OR(V281="CE",V281="EE"),4,IF(V281="SE",5,IF(V281="ALI",7,IF(V281="AIE",5,"")))),
        IF('Dados da OS'!$D$8=Parâmetros!$B$3,
           IF(OR(ISBLANK(X281),ISBLANK(Z281)),"",
              IF(V281="ALI",IF(AE281="L",7,IF(AE281="A",10,15)),
                 IF(V281="AIE",IF(AE281="L",5,IF(AE281="A",7,10)),
                    IF(V281="SE",IF(AE281="L",4,IF(AE281="A",5,7)),
                       IF(OR(V281="EE",V281="CE"),IF(AE281="L",3,IF(AE281="A",4,6)),""))))))))),
   IF('Dados da OS'!$D$8=Parâmetros!$B$5,
      IF(OR(AND(V281="INM",AG281&lt;&gt;"VF"),AND(AG281="VF",V281&lt;&gt;"INM")),"",
         IF(V281="INM",IF(AG281="VF",AF281*AB281,""),
            IF(V281="PE",4.6,
            IF(V281="AL",7,"")))),
   IF('Dados da OS'!$D$8=Parâmetros!$B$6,
      IF(V281="ALI",35,IF(V281="AIE",15,"")),""))
    )
)</f>
        <v/>
      </c>
      <c r="AJ281" s="82" t="str">
        <f t="shared" si="34"/>
        <v/>
      </c>
      <c r="AK281" s="84"/>
      <c r="AL281" s="85" t="s">
        <v>21</v>
      </c>
      <c r="AM281" s="86"/>
      <c r="AN281" s="85"/>
      <c r="AO281" s="87"/>
      <c r="AP281" s="85"/>
      <c r="AQ281" s="86"/>
      <c r="AR281" s="85"/>
    </row>
    <row r="282" spans="1:44" ht="15.75" customHeight="1">
      <c r="A282" s="54"/>
      <c r="B282" s="100"/>
      <c r="C282" s="55"/>
      <c r="D282" s="55"/>
      <c r="E282" s="56"/>
      <c r="F282" s="55"/>
      <c r="G282" s="56"/>
      <c r="H282" s="55"/>
      <c r="I282" s="64"/>
      <c r="J282" s="57" t="str">
        <f t="shared" si="29"/>
        <v/>
      </c>
      <c r="K282" s="57" t="str">
        <f t="shared" si="30"/>
        <v/>
      </c>
      <c r="L282" s="57" t="str">
        <f xml:space="preserve">
IF(OR('Dados da OS'!$D$8=Parâmetros!$B$3,'Dados da OS'!$D$8=Parâmetros!$B$4),
  IF(OR(ISBLANK(D282),ISBLANK(F282)),
     IF(OR(B282="ALI",B282="AIE"),"L",IF(ISBLANK(B282),"","A")),
     IF(B282="EE",IF(F282&gt;=3,IF(D282&gt;=5,"H","A"),
     IF(F282&gt;=2,IF(D282&gt;=16,"H",IF(D282&lt;=4,"L","A")),IF(D282&lt;=15,"L","A"))),
     IF(OR(B282="SE",B282="CE"),IF(F282&gt;=4,IF(D282&gt;=6,"H","A"),IF(F282&gt;=2,IF(D282&gt;=20,"H",IF(D282&lt;=5,"L","A")),IF(D282&lt;=19,"L","A"))),
     IF(OR(B282="ALI",B282="AIE"),IF(F282&gt;=6,IF(D282&gt;=20,"H","A"),IF(F282&gt;=2,IF(D282&gt;=51,"H",IF(D282&lt;=19,"L","A")),IF(D282&lt;=50,"L","A"))))))),
IF('Dados da OS'!$D$8=Parâmetros!$B$6,"Indicativa",
IF('Dados da OS'!$D$8=Parâmetros!$B$5,"PFS","")))</f>
        <v/>
      </c>
      <c r="M282" s="57">
        <f>IFERROR(VLOOKUP(C282,'Fatores de Impacto e INMs'!$A$3:$D$32,3,0),1)</f>
        <v>1</v>
      </c>
      <c r="N282" s="57">
        <f>IFERROR(VLOOKUP(C282,'Fatores de Impacto e INMs'!$A$3:$E$32,5,0),1)</f>
        <v>1</v>
      </c>
      <c r="O282" s="63" t="str">
        <f xml:space="preserve">
IF(OR('Dados da OS'!$D$8="Selecione o tipo da contagem",ISBLANK('Dados da OS'!$D$8),B282="INM",B282="N/A",ISBLANK(B282),ISBLANK(C282),N282="VF"),"-",
   IF('Dados da OS'!$D$8=Parâmetros!$B$3,
      IF(OR(ISBLANK(D282),ISBLANK(F282)),"-",
         IF(L282="L","Baixa",IF(L282="A","Média",IF(L282="H","Alta","-")))),
      IF('Dados da OS'!$D$8=Parâmetros!$B$4,
         IF(OR(B282="ALI",B282="AIE"),"Baixa",IF(OR(B282="EE",B282="SE",B282="CE"),"Média","-")),
         IF(OR('Dados da OS'!$D$8=Parâmetros!$B$5,'Dados da OS'!$D$8=Parâmetros!$B$6),"-"))))</f>
        <v>-</v>
      </c>
      <c r="P282" s="59" t="str">
        <f xml:space="preserve">
IF(OR(ISBLANK(B282),ISBLANK(C282),B282="N/A",ISBLANK('Dados da OS'!$D$8)),"",
   IF(OR('Dados da OS'!$D$8=Parâmetros!$B$3,'Dados da OS'!$D$8=Parâmetros!$B$4),
      IF(OR(AND(B282="INM",N282&lt;&gt;"VF"),AND(N282="VF",B282&lt;&gt;"INM")),"",
        IF(AND(B282="INM",N282="VF"),IF(ISBLANK(H282),"",M282*H282),
        IF('Dados da OS'!$D$8=Parâmetros!$B$4,
           IF(OR(B282="CE",B282="EE"),4,IF(B282="SE",5,IF(B282="ALI",7,IF(B282="AIE",5,"")))),
        IF('Dados da OS'!$D$8=Parâmetros!$B$3,
           IF(OR(ISBLANK(D282),ISBLANK(F282)),"",
              IF(B282="ALI",IF(L282="L",7,IF(L282="A",10,15)),
                 IF(B282="AIE",IF(L282="L",5,IF(L282="A",7,10)),
                    IF(B282="SE",IF(L282="L",4,IF(L282="A",5,7)),
                       IF(OR(B282="EE",B282="CE"),IF(L282="L",3,IF(L282="A",4,6)),""))))))))),
   IF('Dados da OS'!$D$8=Parâmetros!$B$5,
      IF(OR(AND(B282="INM",N282&lt;&gt;"VF"),AND(N282="VF",B282&lt;&gt;"INM")),"",
         IF(B282="INM",IF(N282="VF",M282*H282,""),
            IF(B282="PE",4.6,
            IF(B282="AL",7,"")))),
   IF('Dados da OS'!$D$8=Parâmetros!$B$6,
      IF(B282="ALI",35,IF(B282="AIE",15,"")),""))
    )
)</f>
        <v/>
      </c>
      <c r="Q282" s="60" t="str">
        <f t="shared" si="31"/>
        <v/>
      </c>
      <c r="R282" s="61"/>
      <c r="S282" s="62"/>
      <c r="T282" s="80" t="s">
        <v>21</v>
      </c>
      <c r="U282" s="81"/>
      <c r="V282" s="99"/>
      <c r="W282" s="55"/>
      <c r="X282" s="55"/>
      <c r="Y282" s="56"/>
      <c r="Z282" s="55"/>
      <c r="AA282" s="56"/>
      <c r="AB282" s="55"/>
      <c r="AC282" s="57" t="str">
        <f t="shared" si="32"/>
        <v/>
      </c>
      <c r="AD282" s="57" t="str">
        <f t="shared" si="33"/>
        <v/>
      </c>
      <c r="AE282" s="57" t="str">
        <f xml:space="preserve">
IF(OR('Dados da OS'!$D$8=Parâmetros!$B$3,'Dados da OS'!$D$8=Parâmetros!$B$4),
  IF(OR(ISBLANK(X282),ISBLANK(Z282)),
     IF(OR(V282="ALI",V282="AIE"),"L",IF(ISBLANK(V282),"","A")),
     IF(V282="EE",IF(Z282&gt;=3,IF(X282&gt;=5,"H","A"),
     IF(Z282&gt;=2,IF(X282&gt;=16,"H",IF(X282&lt;=4,"L","A")),IF(X282&lt;=15,"L","A"))),
     IF(OR(V282="SE",V282="CE"),IF(Z282&gt;=4,IF(X282&gt;=6,"H","A"),IF(Z282&gt;=2,IF(X282&gt;=20,"H",IF(X282&lt;=5,"L","A")),IF(X282&lt;=19,"L","A"))),
     IF(OR(V282="ALI",V282="AIE"),IF(Z282&gt;=6,IF(X282&gt;=20,"H","A"),IF(Z282&gt;=2,IF(X282&gt;=51,"H",IF(X282&lt;=19,"L","A")),IF(X282&lt;=50,"L","A"))))))),
IF('Dados da OS'!$D$8=Parâmetros!$B$6,"Indicativa",
IF('Dados da OS'!$D$8=Parâmetros!$B$5,"PFS","")))</f>
        <v/>
      </c>
      <c r="AF282" s="57">
        <f>IFERROR(VLOOKUP(W282,'Fatores de Impacto e INMs'!$A$3:$D$32,3,0),1)</f>
        <v>1</v>
      </c>
      <c r="AG282" s="57">
        <f>IFERROR(VLOOKUP(W282,'Fatores de Impacto e INMs'!$A$3:$E$32,5,0),1)</f>
        <v>1</v>
      </c>
      <c r="AH282" s="82" t="str">
        <f xml:space="preserve">
IF(OR('Dados da OS'!$D$8="Selecione o tipo da contagem",ISBLANK('Dados da OS'!$D$8),V282="INM",V282="N/A",ISBLANK(V282),ISBLANK(W282),AG282="VF"),"-",
   IF('Dados da OS'!$D$8=Parâmetros!$B$3,
      IF(OR(ISBLANK(X282),ISBLANK(Z282)),"-",
         IF(AE282="L","Baixa",IF(AE282="A","Média",IF(AE282="H","Alta","-")))),
      IF('Dados da OS'!$D$8=Parâmetros!$B$4,
         IF(OR(V282="ALI",V282="AIE"),"Baixa",IF(OR(V282="EE",V282="SE",V282="CE"),"Média","-")),
         IF(OR('Dados da OS'!$D$8=Parâmetros!$B$5,'Dados da OS'!$D$8=Parâmetros!$B$6),"-"))))</f>
        <v>-</v>
      </c>
      <c r="AI282" s="83" t="str">
        <f xml:space="preserve">
IF(OR(ISBLANK(V282),ISBLANK(U282),ISBLANK(W282),V282="N/A",ISBLANK('Dados da OS'!$D$8)),"",
   IF(OR('Dados da OS'!$D$8=Parâmetros!$B$3,'Dados da OS'!$D$8=Parâmetros!$B$4),
      IF(OR(AND(V282="INM",AG282&lt;&gt;"VF"),AND(AG282="VF",V282&lt;&gt;"INM")),"",
        IF(AND(V282="INM",AG282="VF"),IF(ISBLANK(AB282),"",AF282*AB282),
        IF('Dados da OS'!$D$8=Parâmetros!$B$4,
           IF(OR(V282="CE",V282="EE"),4,IF(V282="SE",5,IF(V282="ALI",7,IF(V282="AIE",5,"")))),
        IF('Dados da OS'!$D$8=Parâmetros!$B$3,
           IF(OR(ISBLANK(X282),ISBLANK(Z282)),"",
              IF(V282="ALI",IF(AE282="L",7,IF(AE282="A",10,15)),
                 IF(V282="AIE",IF(AE282="L",5,IF(AE282="A",7,10)),
                    IF(V282="SE",IF(AE282="L",4,IF(AE282="A",5,7)),
                       IF(OR(V282="EE",V282="CE"),IF(AE282="L",3,IF(AE282="A",4,6)),""))))))))),
   IF('Dados da OS'!$D$8=Parâmetros!$B$5,
      IF(OR(AND(V282="INM",AG282&lt;&gt;"VF"),AND(AG282="VF",V282&lt;&gt;"INM")),"",
         IF(V282="INM",IF(AG282="VF",AF282*AB282,""),
            IF(V282="PE",4.6,
            IF(V282="AL",7,"")))),
   IF('Dados da OS'!$D$8=Parâmetros!$B$6,
      IF(V282="ALI",35,IF(V282="AIE",15,"")),""))
    )
)</f>
        <v/>
      </c>
      <c r="AJ282" s="82" t="str">
        <f t="shared" si="34"/>
        <v/>
      </c>
      <c r="AK282" s="84"/>
      <c r="AL282" s="85" t="s">
        <v>21</v>
      </c>
      <c r="AM282" s="86"/>
      <c r="AN282" s="85"/>
      <c r="AO282" s="87"/>
      <c r="AP282" s="85"/>
      <c r="AQ282" s="86"/>
      <c r="AR282" s="85"/>
    </row>
    <row r="283" spans="1:44" ht="15.75" customHeight="1">
      <c r="A283" s="54"/>
      <c r="B283" s="100"/>
      <c r="C283" s="55"/>
      <c r="D283" s="55"/>
      <c r="E283" s="56"/>
      <c r="F283" s="55"/>
      <c r="G283" s="56"/>
      <c r="H283" s="55"/>
      <c r="I283" s="64"/>
      <c r="J283" s="57" t="str">
        <f t="shared" si="29"/>
        <v/>
      </c>
      <c r="K283" s="57" t="str">
        <f t="shared" si="30"/>
        <v/>
      </c>
      <c r="L283" s="57" t="str">
        <f xml:space="preserve">
IF(OR('Dados da OS'!$D$8=Parâmetros!$B$3,'Dados da OS'!$D$8=Parâmetros!$B$4),
  IF(OR(ISBLANK(D283),ISBLANK(F283)),
     IF(OR(B283="ALI",B283="AIE"),"L",IF(ISBLANK(B283),"","A")),
     IF(B283="EE",IF(F283&gt;=3,IF(D283&gt;=5,"H","A"),
     IF(F283&gt;=2,IF(D283&gt;=16,"H",IF(D283&lt;=4,"L","A")),IF(D283&lt;=15,"L","A"))),
     IF(OR(B283="SE",B283="CE"),IF(F283&gt;=4,IF(D283&gt;=6,"H","A"),IF(F283&gt;=2,IF(D283&gt;=20,"H",IF(D283&lt;=5,"L","A")),IF(D283&lt;=19,"L","A"))),
     IF(OR(B283="ALI",B283="AIE"),IF(F283&gt;=6,IF(D283&gt;=20,"H","A"),IF(F283&gt;=2,IF(D283&gt;=51,"H",IF(D283&lt;=19,"L","A")),IF(D283&lt;=50,"L","A"))))))),
IF('Dados da OS'!$D$8=Parâmetros!$B$6,"Indicativa",
IF('Dados da OS'!$D$8=Parâmetros!$B$5,"PFS","")))</f>
        <v/>
      </c>
      <c r="M283" s="57">
        <f>IFERROR(VLOOKUP(C283,'Fatores de Impacto e INMs'!$A$3:$D$32,3,0),1)</f>
        <v>1</v>
      </c>
      <c r="N283" s="57">
        <f>IFERROR(VLOOKUP(C283,'Fatores de Impacto e INMs'!$A$3:$E$32,5,0),1)</f>
        <v>1</v>
      </c>
      <c r="O283" s="63" t="str">
        <f xml:space="preserve">
IF(OR('Dados da OS'!$D$8="Selecione o tipo da contagem",ISBLANK('Dados da OS'!$D$8),B283="INM",B283="N/A",ISBLANK(B283),ISBLANK(C283),N283="VF"),"-",
   IF('Dados da OS'!$D$8=Parâmetros!$B$3,
      IF(OR(ISBLANK(D283),ISBLANK(F283)),"-",
         IF(L283="L","Baixa",IF(L283="A","Média",IF(L283="H","Alta","-")))),
      IF('Dados da OS'!$D$8=Parâmetros!$B$4,
         IF(OR(B283="ALI",B283="AIE"),"Baixa",IF(OR(B283="EE",B283="SE",B283="CE"),"Média","-")),
         IF(OR('Dados da OS'!$D$8=Parâmetros!$B$5,'Dados da OS'!$D$8=Parâmetros!$B$6),"-"))))</f>
        <v>-</v>
      </c>
      <c r="P283" s="59" t="str">
        <f xml:space="preserve">
IF(OR(ISBLANK(B283),ISBLANK(C283),B283="N/A",ISBLANK('Dados da OS'!$D$8)),"",
   IF(OR('Dados da OS'!$D$8=Parâmetros!$B$3,'Dados da OS'!$D$8=Parâmetros!$B$4),
      IF(OR(AND(B283="INM",N283&lt;&gt;"VF"),AND(N283="VF",B283&lt;&gt;"INM")),"",
        IF(AND(B283="INM",N283="VF"),IF(ISBLANK(H283),"",M283*H283),
        IF('Dados da OS'!$D$8=Parâmetros!$B$4,
           IF(OR(B283="CE",B283="EE"),4,IF(B283="SE",5,IF(B283="ALI",7,IF(B283="AIE",5,"")))),
        IF('Dados da OS'!$D$8=Parâmetros!$B$3,
           IF(OR(ISBLANK(D283),ISBLANK(F283)),"",
              IF(B283="ALI",IF(L283="L",7,IF(L283="A",10,15)),
                 IF(B283="AIE",IF(L283="L",5,IF(L283="A",7,10)),
                    IF(B283="SE",IF(L283="L",4,IF(L283="A",5,7)),
                       IF(OR(B283="EE",B283="CE"),IF(L283="L",3,IF(L283="A",4,6)),""))))))))),
   IF('Dados da OS'!$D$8=Parâmetros!$B$5,
      IF(OR(AND(B283="INM",N283&lt;&gt;"VF"),AND(N283="VF",B283&lt;&gt;"INM")),"",
         IF(B283="INM",IF(N283="VF",M283*H283,""),
            IF(B283="PE",4.6,
            IF(B283="AL",7,"")))),
   IF('Dados da OS'!$D$8=Parâmetros!$B$6,
      IF(B283="ALI",35,IF(B283="AIE",15,"")),""))
    )
)</f>
        <v/>
      </c>
      <c r="Q283" s="60" t="str">
        <f t="shared" si="31"/>
        <v/>
      </c>
      <c r="R283" s="61"/>
      <c r="S283" s="62"/>
      <c r="T283" s="80" t="s">
        <v>21</v>
      </c>
      <c r="U283" s="81"/>
      <c r="V283" s="99"/>
      <c r="W283" s="55"/>
      <c r="X283" s="55"/>
      <c r="Y283" s="56"/>
      <c r="Z283" s="55"/>
      <c r="AA283" s="56"/>
      <c r="AB283" s="55"/>
      <c r="AC283" s="57" t="str">
        <f t="shared" si="32"/>
        <v/>
      </c>
      <c r="AD283" s="57" t="str">
        <f t="shared" si="33"/>
        <v/>
      </c>
      <c r="AE283" s="57" t="str">
        <f xml:space="preserve">
IF(OR('Dados da OS'!$D$8=Parâmetros!$B$3,'Dados da OS'!$D$8=Parâmetros!$B$4),
  IF(OR(ISBLANK(X283),ISBLANK(Z283)),
     IF(OR(V283="ALI",V283="AIE"),"L",IF(ISBLANK(V283),"","A")),
     IF(V283="EE",IF(Z283&gt;=3,IF(X283&gt;=5,"H","A"),
     IF(Z283&gt;=2,IF(X283&gt;=16,"H",IF(X283&lt;=4,"L","A")),IF(X283&lt;=15,"L","A"))),
     IF(OR(V283="SE",V283="CE"),IF(Z283&gt;=4,IF(X283&gt;=6,"H","A"),IF(Z283&gt;=2,IF(X283&gt;=20,"H",IF(X283&lt;=5,"L","A")),IF(X283&lt;=19,"L","A"))),
     IF(OR(V283="ALI",V283="AIE"),IF(Z283&gt;=6,IF(X283&gt;=20,"H","A"),IF(Z283&gt;=2,IF(X283&gt;=51,"H",IF(X283&lt;=19,"L","A")),IF(X283&lt;=50,"L","A"))))))),
IF('Dados da OS'!$D$8=Parâmetros!$B$6,"Indicativa",
IF('Dados da OS'!$D$8=Parâmetros!$B$5,"PFS","")))</f>
        <v/>
      </c>
      <c r="AF283" s="57">
        <f>IFERROR(VLOOKUP(W283,'Fatores de Impacto e INMs'!$A$3:$D$32,3,0),1)</f>
        <v>1</v>
      </c>
      <c r="AG283" s="57">
        <f>IFERROR(VLOOKUP(W283,'Fatores de Impacto e INMs'!$A$3:$E$32,5,0),1)</f>
        <v>1</v>
      </c>
      <c r="AH283" s="82" t="str">
        <f xml:space="preserve">
IF(OR('Dados da OS'!$D$8="Selecione o tipo da contagem",ISBLANK('Dados da OS'!$D$8),V283="INM",V283="N/A",ISBLANK(V283),ISBLANK(W283),AG283="VF"),"-",
   IF('Dados da OS'!$D$8=Parâmetros!$B$3,
      IF(OR(ISBLANK(X283),ISBLANK(Z283)),"-",
         IF(AE283="L","Baixa",IF(AE283="A","Média",IF(AE283="H","Alta","-")))),
      IF('Dados da OS'!$D$8=Parâmetros!$B$4,
         IF(OR(V283="ALI",V283="AIE"),"Baixa",IF(OR(V283="EE",V283="SE",V283="CE"),"Média","-")),
         IF(OR('Dados da OS'!$D$8=Parâmetros!$B$5,'Dados da OS'!$D$8=Parâmetros!$B$6),"-"))))</f>
        <v>-</v>
      </c>
      <c r="AI283" s="83" t="str">
        <f xml:space="preserve">
IF(OR(ISBLANK(V283),ISBLANK(U283),ISBLANK(W283),V283="N/A",ISBLANK('Dados da OS'!$D$8)),"",
   IF(OR('Dados da OS'!$D$8=Parâmetros!$B$3,'Dados da OS'!$D$8=Parâmetros!$B$4),
      IF(OR(AND(V283="INM",AG283&lt;&gt;"VF"),AND(AG283="VF",V283&lt;&gt;"INM")),"",
        IF(AND(V283="INM",AG283="VF"),IF(ISBLANK(AB283),"",AF283*AB283),
        IF('Dados da OS'!$D$8=Parâmetros!$B$4,
           IF(OR(V283="CE",V283="EE"),4,IF(V283="SE",5,IF(V283="ALI",7,IF(V283="AIE",5,"")))),
        IF('Dados da OS'!$D$8=Parâmetros!$B$3,
           IF(OR(ISBLANK(X283),ISBLANK(Z283)),"",
              IF(V283="ALI",IF(AE283="L",7,IF(AE283="A",10,15)),
                 IF(V283="AIE",IF(AE283="L",5,IF(AE283="A",7,10)),
                    IF(V283="SE",IF(AE283="L",4,IF(AE283="A",5,7)),
                       IF(OR(V283="EE",V283="CE"),IF(AE283="L",3,IF(AE283="A",4,6)),""))))))))),
   IF('Dados da OS'!$D$8=Parâmetros!$B$5,
      IF(OR(AND(V283="INM",AG283&lt;&gt;"VF"),AND(AG283="VF",V283&lt;&gt;"INM")),"",
         IF(V283="INM",IF(AG283="VF",AF283*AB283,""),
            IF(V283="PE",4.6,
            IF(V283="AL",7,"")))),
   IF('Dados da OS'!$D$8=Parâmetros!$B$6,
      IF(V283="ALI",35,IF(V283="AIE",15,"")),""))
    )
)</f>
        <v/>
      </c>
      <c r="AJ283" s="82" t="str">
        <f t="shared" si="34"/>
        <v/>
      </c>
      <c r="AK283" s="84"/>
      <c r="AL283" s="85" t="s">
        <v>21</v>
      </c>
      <c r="AM283" s="86"/>
      <c r="AN283" s="85"/>
      <c r="AO283" s="87"/>
      <c r="AP283" s="85"/>
      <c r="AQ283" s="86"/>
      <c r="AR283" s="85"/>
    </row>
    <row r="284" spans="1:44" ht="15.75" customHeight="1">
      <c r="A284" s="54"/>
      <c r="B284" s="100"/>
      <c r="C284" s="55"/>
      <c r="D284" s="55"/>
      <c r="E284" s="56"/>
      <c r="F284" s="55"/>
      <c r="G284" s="56"/>
      <c r="H284" s="55"/>
      <c r="I284" s="64"/>
      <c r="J284" s="57" t="str">
        <f t="shared" si="29"/>
        <v/>
      </c>
      <c r="K284" s="57" t="str">
        <f t="shared" si="30"/>
        <v/>
      </c>
      <c r="L284" s="57" t="str">
        <f xml:space="preserve">
IF(OR('Dados da OS'!$D$8=Parâmetros!$B$3,'Dados da OS'!$D$8=Parâmetros!$B$4),
  IF(OR(ISBLANK(D284),ISBLANK(F284)),
     IF(OR(B284="ALI",B284="AIE"),"L",IF(ISBLANK(B284),"","A")),
     IF(B284="EE",IF(F284&gt;=3,IF(D284&gt;=5,"H","A"),
     IF(F284&gt;=2,IF(D284&gt;=16,"H",IF(D284&lt;=4,"L","A")),IF(D284&lt;=15,"L","A"))),
     IF(OR(B284="SE",B284="CE"),IF(F284&gt;=4,IF(D284&gt;=6,"H","A"),IF(F284&gt;=2,IF(D284&gt;=20,"H",IF(D284&lt;=5,"L","A")),IF(D284&lt;=19,"L","A"))),
     IF(OR(B284="ALI",B284="AIE"),IF(F284&gt;=6,IF(D284&gt;=20,"H","A"),IF(F284&gt;=2,IF(D284&gt;=51,"H",IF(D284&lt;=19,"L","A")),IF(D284&lt;=50,"L","A"))))))),
IF('Dados da OS'!$D$8=Parâmetros!$B$6,"Indicativa",
IF('Dados da OS'!$D$8=Parâmetros!$B$5,"PFS","")))</f>
        <v/>
      </c>
      <c r="M284" s="57">
        <f>IFERROR(VLOOKUP(C284,'Fatores de Impacto e INMs'!$A$3:$D$32,3,0),1)</f>
        <v>1</v>
      </c>
      <c r="N284" s="57">
        <f>IFERROR(VLOOKUP(C284,'Fatores de Impacto e INMs'!$A$3:$E$32,5,0),1)</f>
        <v>1</v>
      </c>
      <c r="O284" s="63" t="str">
        <f xml:space="preserve">
IF(OR('Dados da OS'!$D$8="Selecione o tipo da contagem",ISBLANK('Dados da OS'!$D$8),B284="INM",B284="N/A",ISBLANK(B284),ISBLANK(C284),N284="VF"),"-",
   IF('Dados da OS'!$D$8=Parâmetros!$B$3,
      IF(OR(ISBLANK(D284),ISBLANK(F284)),"-",
         IF(L284="L","Baixa",IF(L284="A","Média",IF(L284="H","Alta","-")))),
      IF('Dados da OS'!$D$8=Parâmetros!$B$4,
         IF(OR(B284="ALI",B284="AIE"),"Baixa",IF(OR(B284="EE",B284="SE",B284="CE"),"Média","-")),
         IF(OR('Dados da OS'!$D$8=Parâmetros!$B$5,'Dados da OS'!$D$8=Parâmetros!$B$6),"-"))))</f>
        <v>-</v>
      </c>
      <c r="P284" s="59" t="str">
        <f xml:space="preserve">
IF(OR(ISBLANK(B284),ISBLANK(C284),B284="N/A",ISBLANK('Dados da OS'!$D$8)),"",
   IF(OR('Dados da OS'!$D$8=Parâmetros!$B$3,'Dados da OS'!$D$8=Parâmetros!$B$4),
      IF(OR(AND(B284="INM",N284&lt;&gt;"VF"),AND(N284="VF",B284&lt;&gt;"INM")),"",
        IF(AND(B284="INM",N284="VF"),IF(ISBLANK(H284),"",M284*H284),
        IF('Dados da OS'!$D$8=Parâmetros!$B$4,
           IF(OR(B284="CE",B284="EE"),4,IF(B284="SE",5,IF(B284="ALI",7,IF(B284="AIE",5,"")))),
        IF('Dados da OS'!$D$8=Parâmetros!$B$3,
           IF(OR(ISBLANK(D284),ISBLANK(F284)),"",
              IF(B284="ALI",IF(L284="L",7,IF(L284="A",10,15)),
                 IF(B284="AIE",IF(L284="L",5,IF(L284="A",7,10)),
                    IF(B284="SE",IF(L284="L",4,IF(L284="A",5,7)),
                       IF(OR(B284="EE",B284="CE"),IF(L284="L",3,IF(L284="A",4,6)),""))))))))),
   IF('Dados da OS'!$D$8=Parâmetros!$B$5,
      IF(OR(AND(B284="INM",N284&lt;&gt;"VF"),AND(N284="VF",B284&lt;&gt;"INM")),"",
         IF(B284="INM",IF(N284="VF",M284*H284,""),
            IF(B284="PE",4.6,
            IF(B284="AL",7,"")))),
   IF('Dados da OS'!$D$8=Parâmetros!$B$6,
      IF(B284="ALI",35,IF(B284="AIE",15,"")),""))
    )
)</f>
        <v/>
      </c>
      <c r="Q284" s="60" t="str">
        <f t="shared" si="31"/>
        <v/>
      </c>
      <c r="R284" s="61"/>
      <c r="S284" s="62"/>
      <c r="T284" s="80" t="s">
        <v>21</v>
      </c>
      <c r="U284" s="81"/>
      <c r="V284" s="99"/>
      <c r="W284" s="55"/>
      <c r="X284" s="55"/>
      <c r="Y284" s="56"/>
      <c r="Z284" s="55"/>
      <c r="AA284" s="56"/>
      <c r="AB284" s="55"/>
      <c r="AC284" s="57" t="str">
        <f t="shared" si="32"/>
        <v/>
      </c>
      <c r="AD284" s="57" t="str">
        <f t="shared" si="33"/>
        <v/>
      </c>
      <c r="AE284" s="57" t="str">
        <f xml:space="preserve">
IF(OR('Dados da OS'!$D$8=Parâmetros!$B$3,'Dados da OS'!$D$8=Parâmetros!$B$4),
  IF(OR(ISBLANK(X284),ISBLANK(Z284)),
     IF(OR(V284="ALI",V284="AIE"),"L",IF(ISBLANK(V284),"","A")),
     IF(V284="EE",IF(Z284&gt;=3,IF(X284&gt;=5,"H","A"),
     IF(Z284&gt;=2,IF(X284&gt;=16,"H",IF(X284&lt;=4,"L","A")),IF(X284&lt;=15,"L","A"))),
     IF(OR(V284="SE",V284="CE"),IF(Z284&gt;=4,IF(X284&gt;=6,"H","A"),IF(Z284&gt;=2,IF(X284&gt;=20,"H",IF(X284&lt;=5,"L","A")),IF(X284&lt;=19,"L","A"))),
     IF(OR(V284="ALI",V284="AIE"),IF(Z284&gt;=6,IF(X284&gt;=20,"H","A"),IF(Z284&gt;=2,IF(X284&gt;=51,"H",IF(X284&lt;=19,"L","A")),IF(X284&lt;=50,"L","A"))))))),
IF('Dados da OS'!$D$8=Parâmetros!$B$6,"Indicativa",
IF('Dados da OS'!$D$8=Parâmetros!$B$5,"PFS","")))</f>
        <v/>
      </c>
      <c r="AF284" s="57">
        <f>IFERROR(VLOOKUP(W284,'Fatores de Impacto e INMs'!$A$3:$D$32,3,0),1)</f>
        <v>1</v>
      </c>
      <c r="AG284" s="57">
        <f>IFERROR(VLOOKUP(W284,'Fatores de Impacto e INMs'!$A$3:$E$32,5,0),1)</f>
        <v>1</v>
      </c>
      <c r="AH284" s="82" t="str">
        <f xml:space="preserve">
IF(OR('Dados da OS'!$D$8="Selecione o tipo da contagem",ISBLANK('Dados da OS'!$D$8),V284="INM",V284="N/A",ISBLANK(V284),ISBLANK(W284),AG284="VF"),"-",
   IF('Dados da OS'!$D$8=Parâmetros!$B$3,
      IF(OR(ISBLANK(X284),ISBLANK(Z284)),"-",
         IF(AE284="L","Baixa",IF(AE284="A","Média",IF(AE284="H","Alta","-")))),
      IF('Dados da OS'!$D$8=Parâmetros!$B$4,
         IF(OR(V284="ALI",V284="AIE"),"Baixa",IF(OR(V284="EE",V284="SE",V284="CE"),"Média","-")),
         IF(OR('Dados da OS'!$D$8=Parâmetros!$B$5,'Dados da OS'!$D$8=Parâmetros!$B$6),"-"))))</f>
        <v>-</v>
      </c>
      <c r="AI284" s="83" t="str">
        <f xml:space="preserve">
IF(OR(ISBLANK(V284),ISBLANK(U284),ISBLANK(W284),V284="N/A",ISBLANK('Dados da OS'!$D$8)),"",
   IF(OR('Dados da OS'!$D$8=Parâmetros!$B$3,'Dados da OS'!$D$8=Parâmetros!$B$4),
      IF(OR(AND(V284="INM",AG284&lt;&gt;"VF"),AND(AG284="VF",V284&lt;&gt;"INM")),"",
        IF(AND(V284="INM",AG284="VF"),IF(ISBLANK(AB284),"",AF284*AB284),
        IF('Dados da OS'!$D$8=Parâmetros!$B$4,
           IF(OR(V284="CE",V284="EE"),4,IF(V284="SE",5,IF(V284="ALI",7,IF(V284="AIE",5,"")))),
        IF('Dados da OS'!$D$8=Parâmetros!$B$3,
           IF(OR(ISBLANK(X284),ISBLANK(Z284)),"",
              IF(V284="ALI",IF(AE284="L",7,IF(AE284="A",10,15)),
                 IF(V284="AIE",IF(AE284="L",5,IF(AE284="A",7,10)),
                    IF(V284="SE",IF(AE284="L",4,IF(AE284="A",5,7)),
                       IF(OR(V284="EE",V284="CE"),IF(AE284="L",3,IF(AE284="A",4,6)),""))))))))),
   IF('Dados da OS'!$D$8=Parâmetros!$B$5,
      IF(OR(AND(V284="INM",AG284&lt;&gt;"VF"),AND(AG284="VF",V284&lt;&gt;"INM")),"",
         IF(V284="INM",IF(AG284="VF",AF284*AB284,""),
            IF(V284="PE",4.6,
            IF(V284="AL",7,"")))),
   IF('Dados da OS'!$D$8=Parâmetros!$B$6,
      IF(V284="ALI",35,IF(V284="AIE",15,"")),""))
    )
)</f>
        <v/>
      </c>
      <c r="AJ284" s="82" t="str">
        <f t="shared" si="34"/>
        <v/>
      </c>
      <c r="AK284" s="84"/>
      <c r="AL284" s="85" t="s">
        <v>21</v>
      </c>
      <c r="AM284" s="86"/>
      <c r="AN284" s="85"/>
      <c r="AO284" s="87"/>
      <c r="AP284" s="85"/>
      <c r="AQ284" s="86"/>
      <c r="AR284" s="85"/>
    </row>
    <row r="285" spans="1:44" ht="15.75" customHeight="1">
      <c r="A285" s="54"/>
      <c r="B285" s="100"/>
      <c r="C285" s="55"/>
      <c r="D285" s="55"/>
      <c r="E285" s="56"/>
      <c r="F285" s="55"/>
      <c r="G285" s="56"/>
      <c r="H285" s="55"/>
      <c r="I285" s="64"/>
      <c r="J285" s="57" t="str">
        <f t="shared" si="29"/>
        <v/>
      </c>
      <c r="K285" s="57" t="str">
        <f t="shared" si="30"/>
        <v/>
      </c>
      <c r="L285" s="57" t="str">
        <f xml:space="preserve">
IF(OR('Dados da OS'!$D$8=Parâmetros!$B$3,'Dados da OS'!$D$8=Parâmetros!$B$4),
  IF(OR(ISBLANK(D285),ISBLANK(F285)),
     IF(OR(B285="ALI",B285="AIE"),"L",IF(ISBLANK(B285),"","A")),
     IF(B285="EE",IF(F285&gt;=3,IF(D285&gt;=5,"H","A"),
     IF(F285&gt;=2,IF(D285&gt;=16,"H",IF(D285&lt;=4,"L","A")),IF(D285&lt;=15,"L","A"))),
     IF(OR(B285="SE",B285="CE"),IF(F285&gt;=4,IF(D285&gt;=6,"H","A"),IF(F285&gt;=2,IF(D285&gt;=20,"H",IF(D285&lt;=5,"L","A")),IF(D285&lt;=19,"L","A"))),
     IF(OR(B285="ALI",B285="AIE"),IF(F285&gt;=6,IF(D285&gt;=20,"H","A"),IF(F285&gt;=2,IF(D285&gt;=51,"H",IF(D285&lt;=19,"L","A")),IF(D285&lt;=50,"L","A"))))))),
IF('Dados da OS'!$D$8=Parâmetros!$B$6,"Indicativa",
IF('Dados da OS'!$D$8=Parâmetros!$B$5,"PFS","")))</f>
        <v/>
      </c>
      <c r="M285" s="57">
        <f>IFERROR(VLOOKUP(C285,'Fatores de Impacto e INMs'!$A$3:$D$32,3,0),1)</f>
        <v>1</v>
      </c>
      <c r="N285" s="57">
        <f>IFERROR(VLOOKUP(C285,'Fatores de Impacto e INMs'!$A$3:$E$32,5,0),1)</f>
        <v>1</v>
      </c>
      <c r="O285" s="63" t="str">
        <f xml:space="preserve">
IF(OR('Dados da OS'!$D$8="Selecione o tipo da contagem",ISBLANK('Dados da OS'!$D$8),B285="INM",B285="N/A",ISBLANK(B285),ISBLANK(C285),N285="VF"),"-",
   IF('Dados da OS'!$D$8=Parâmetros!$B$3,
      IF(OR(ISBLANK(D285),ISBLANK(F285)),"-",
         IF(L285="L","Baixa",IF(L285="A","Média",IF(L285="H","Alta","-")))),
      IF('Dados da OS'!$D$8=Parâmetros!$B$4,
         IF(OR(B285="ALI",B285="AIE"),"Baixa",IF(OR(B285="EE",B285="SE",B285="CE"),"Média","-")),
         IF(OR('Dados da OS'!$D$8=Parâmetros!$B$5,'Dados da OS'!$D$8=Parâmetros!$B$6),"-"))))</f>
        <v>-</v>
      </c>
      <c r="P285" s="59" t="str">
        <f xml:space="preserve">
IF(OR(ISBLANK(B285),ISBLANK(C285),B285="N/A",ISBLANK('Dados da OS'!$D$8)),"",
   IF(OR('Dados da OS'!$D$8=Parâmetros!$B$3,'Dados da OS'!$D$8=Parâmetros!$B$4),
      IF(OR(AND(B285="INM",N285&lt;&gt;"VF"),AND(N285="VF",B285&lt;&gt;"INM")),"",
        IF(AND(B285="INM",N285="VF"),IF(ISBLANK(H285),"",M285*H285),
        IF('Dados da OS'!$D$8=Parâmetros!$B$4,
           IF(OR(B285="CE",B285="EE"),4,IF(B285="SE",5,IF(B285="ALI",7,IF(B285="AIE",5,"")))),
        IF('Dados da OS'!$D$8=Parâmetros!$B$3,
           IF(OR(ISBLANK(D285),ISBLANK(F285)),"",
              IF(B285="ALI",IF(L285="L",7,IF(L285="A",10,15)),
                 IF(B285="AIE",IF(L285="L",5,IF(L285="A",7,10)),
                    IF(B285="SE",IF(L285="L",4,IF(L285="A",5,7)),
                       IF(OR(B285="EE",B285="CE"),IF(L285="L",3,IF(L285="A",4,6)),""))))))))),
   IF('Dados da OS'!$D$8=Parâmetros!$B$5,
      IF(OR(AND(B285="INM",N285&lt;&gt;"VF"),AND(N285="VF",B285&lt;&gt;"INM")),"",
         IF(B285="INM",IF(N285="VF",M285*H285,""),
            IF(B285="PE",4.6,
            IF(B285="AL",7,"")))),
   IF('Dados da OS'!$D$8=Parâmetros!$B$6,
      IF(B285="ALI",35,IF(B285="AIE",15,"")),""))
    )
)</f>
        <v/>
      </c>
      <c r="Q285" s="60" t="str">
        <f t="shared" si="31"/>
        <v/>
      </c>
      <c r="R285" s="61"/>
      <c r="S285" s="62"/>
      <c r="T285" s="80" t="s">
        <v>21</v>
      </c>
      <c r="U285" s="81"/>
      <c r="V285" s="99"/>
      <c r="W285" s="55"/>
      <c r="X285" s="55"/>
      <c r="Y285" s="56"/>
      <c r="Z285" s="55"/>
      <c r="AA285" s="56"/>
      <c r="AB285" s="55"/>
      <c r="AC285" s="57" t="str">
        <f t="shared" si="32"/>
        <v/>
      </c>
      <c r="AD285" s="57" t="str">
        <f t="shared" si="33"/>
        <v/>
      </c>
      <c r="AE285" s="57" t="str">
        <f xml:space="preserve">
IF(OR('Dados da OS'!$D$8=Parâmetros!$B$3,'Dados da OS'!$D$8=Parâmetros!$B$4),
  IF(OR(ISBLANK(X285),ISBLANK(Z285)),
     IF(OR(V285="ALI",V285="AIE"),"L",IF(ISBLANK(V285),"","A")),
     IF(V285="EE",IF(Z285&gt;=3,IF(X285&gt;=5,"H","A"),
     IF(Z285&gt;=2,IF(X285&gt;=16,"H",IF(X285&lt;=4,"L","A")),IF(X285&lt;=15,"L","A"))),
     IF(OR(V285="SE",V285="CE"),IF(Z285&gt;=4,IF(X285&gt;=6,"H","A"),IF(Z285&gt;=2,IF(X285&gt;=20,"H",IF(X285&lt;=5,"L","A")),IF(X285&lt;=19,"L","A"))),
     IF(OR(V285="ALI",V285="AIE"),IF(Z285&gt;=6,IF(X285&gt;=20,"H","A"),IF(Z285&gt;=2,IF(X285&gt;=51,"H",IF(X285&lt;=19,"L","A")),IF(X285&lt;=50,"L","A"))))))),
IF('Dados da OS'!$D$8=Parâmetros!$B$6,"Indicativa",
IF('Dados da OS'!$D$8=Parâmetros!$B$5,"PFS","")))</f>
        <v/>
      </c>
      <c r="AF285" s="57">
        <f>IFERROR(VLOOKUP(W285,'Fatores de Impacto e INMs'!$A$3:$D$32,3,0),1)</f>
        <v>1</v>
      </c>
      <c r="AG285" s="57">
        <f>IFERROR(VLOOKUP(W285,'Fatores de Impacto e INMs'!$A$3:$E$32,5,0),1)</f>
        <v>1</v>
      </c>
      <c r="AH285" s="82" t="str">
        <f xml:space="preserve">
IF(OR('Dados da OS'!$D$8="Selecione o tipo da contagem",ISBLANK('Dados da OS'!$D$8),V285="INM",V285="N/A",ISBLANK(V285),ISBLANK(W285),AG285="VF"),"-",
   IF('Dados da OS'!$D$8=Parâmetros!$B$3,
      IF(OR(ISBLANK(X285),ISBLANK(Z285)),"-",
         IF(AE285="L","Baixa",IF(AE285="A","Média",IF(AE285="H","Alta","-")))),
      IF('Dados da OS'!$D$8=Parâmetros!$B$4,
         IF(OR(V285="ALI",V285="AIE"),"Baixa",IF(OR(V285="EE",V285="SE",V285="CE"),"Média","-")),
         IF(OR('Dados da OS'!$D$8=Parâmetros!$B$5,'Dados da OS'!$D$8=Parâmetros!$B$6),"-"))))</f>
        <v>-</v>
      </c>
      <c r="AI285" s="83" t="str">
        <f xml:space="preserve">
IF(OR(ISBLANK(V285),ISBLANK(U285),ISBLANK(W285),V285="N/A",ISBLANK('Dados da OS'!$D$8)),"",
   IF(OR('Dados da OS'!$D$8=Parâmetros!$B$3,'Dados da OS'!$D$8=Parâmetros!$B$4),
      IF(OR(AND(V285="INM",AG285&lt;&gt;"VF"),AND(AG285="VF",V285&lt;&gt;"INM")),"",
        IF(AND(V285="INM",AG285="VF"),IF(ISBLANK(AB285),"",AF285*AB285),
        IF('Dados da OS'!$D$8=Parâmetros!$B$4,
           IF(OR(V285="CE",V285="EE"),4,IF(V285="SE",5,IF(V285="ALI",7,IF(V285="AIE",5,"")))),
        IF('Dados da OS'!$D$8=Parâmetros!$B$3,
           IF(OR(ISBLANK(X285),ISBLANK(Z285)),"",
              IF(V285="ALI",IF(AE285="L",7,IF(AE285="A",10,15)),
                 IF(V285="AIE",IF(AE285="L",5,IF(AE285="A",7,10)),
                    IF(V285="SE",IF(AE285="L",4,IF(AE285="A",5,7)),
                       IF(OR(V285="EE",V285="CE"),IF(AE285="L",3,IF(AE285="A",4,6)),""))))))))),
   IF('Dados da OS'!$D$8=Parâmetros!$B$5,
      IF(OR(AND(V285="INM",AG285&lt;&gt;"VF"),AND(AG285="VF",V285&lt;&gt;"INM")),"",
         IF(V285="INM",IF(AG285="VF",AF285*AB285,""),
            IF(V285="PE",4.6,
            IF(V285="AL",7,"")))),
   IF('Dados da OS'!$D$8=Parâmetros!$B$6,
      IF(V285="ALI",35,IF(V285="AIE",15,"")),""))
    )
)</f>
        <v/>
      </c>
      <c r="AJ285" s="82" t="str">
        <f t="shared" si="34"/>
        <v/>
      </c>
      <c r="AK285" s="84"/>
      <c r="AL285" s="85" t="s">
        <v>21</v>
      </c>
      <c r="AM285" s="86"/>
      <c r="AN285" s="85"/>
      <c r="AO285" s="87"/>
      <c r="AP285" s="85"/>
      <c r="AQ285" s="86"/>
      <c r="AR285" s="85"/>
    </row>
    <row r="286" spans="1:44" ht="15.75" customHeight="1">
      <c r="A286" s="54"/>
      <c r="B286" s="100"/>
      <c r="C286" s="55"/>
      <c r="D286" s="55"/>
      <c r="E286" s="56"/>
      <c r="F286" s="55"/>
      <c r="G286" s="56"/>
      <c r="H286" s="55"/>
      <c r="I286" s="64"/>
      <c r="J286" s="57" t="str">
        <f t="shared" si="29"/>
        <v/>
      </c>
      <c r="K286" s="57" t="str">
        <f t="shared" si="30"/>
        <v/>
      </c>
      <c r="L286" s="57" t="str">
        <f xml:space="preserve">
IF(OR('Dados da OS'!$D$8=Parâmetros!$B$3,'Dados da OS'!$D$8=Parâmetros!$B$4),
  IF(OR(ISBLANK(D286),ISBLANK(F286)),
     IF(OR(B286="ALI",B286="AIE"),"L",IF(ISBLANK(B286),"","A")),
     IF(B286="EE",IF(F286&gt;=3,IF(D286&gt;=5,"H","A"),
     IF(F286&gt;=2,IF(D286&gt;=16,"H",IF(D286&lt;=4,"L","A")),IF(D286&lt;=15,"L","A"))),
     IF(OR(B286="SE",B286="CE"),IF(F286&gt;=4,IF(D286&gt;=6,"H","A"),IF(F286&gt;=2,IF(D286&gt;=20,"H",IF(D286&lt;=5,"L","A")),IF(D286&lt;=19,"L","A"))),
     IF(OR(B286="ALI",B286="AIE"),IF(F286&gt;=6,IF(D286&gt;=20,"H","A"),IF(F286&gt;=2,IF(D286&gt;=51,"H",IF(D286&lt;=19,"L","A")),IF(D286&lt;=50,"L","A"))))))),
IF('Dados da OS'!$D$8=Parâmetros!$B$6,"Indicativa",
IF('Dados da OS'!$D$8=Parâmetros!$B$5,"PFS","")))</f>
        <v/>
      </c>
      <c r="M286" s="57">
        <f>IFERROR(VLOOKUP(C286,'Fatores de Impacto e INMs'!$A$3:$D$32,3,0),1)</f>
        <v>1</v>
      </c>
      <c r="N286" s="57">
        <f>IFERROR(VLOOKUP(C286,'Fatores de Impacto e INMs'!$A$3:$E$32,5,0),1)</f>
        <v>1</v>
      </c>
      <c r="O286" s="63" t="str">
        <f xml:space="preserve">
IF(OR('Dados da OS'!$D$8="Selecione o tipo da contagem",ISBLANK('Dados da OS'!$D$8),B286="INM",B286="N/A",ISBLANK(B286),ISBLANK(C286),N286="VF"),"-",
   IF('Dados da OS'!$D$8=Parâmetros!$B$3,
      IF(OR(ISBLANK(D286),ISBLANK(F286)),"-",
         IF(L286="L","Baixa",IF(L286="A","Média",IF(L286="H","Alta","-")))),
      IF('Dados da OS'!$D$8=Parâmetros!$B$4,
         IF(OR(B286="ALI",B286="AIE"),"Baixa",IF(OR(B286="EE",B286="SE",B286="CE"),"Média","-")),
         IF(OR('Dados da OS'!$D$8=Parâmetros!$B$5,'Dados da OS'!$D$8=Parâmetros!$B$6),"-"))))</f>
        <v>-</v>
      </c>
      <c r="P286" s="59" t="str">
        <f xml:space="preserve">
IF(OR(ISBLANK(B286),ISBLANK(C286),B286="N/A",ISBLANK('Dados da OS'!$D$8)),"",
   IF(OR('Dados da OS'!$D$8=Parâmetros!$B$3,'Dados da OS'!$D$8=Parâmetros!$B$4),
      IF(OR(AND(B286="INM",N286&lt;&gt;"VF"),AND(N286="VF",B286&lt;&gt;"INM")),"",
        IF(AND(B286="INM",N286="VF"),IF(ISBLANK(H286),"",M286*H286),
        IF('Dados da OS'!$D$8=Parâmetros!$B$4,
           IF(OR(B286="CE",B286="EE"),4,IF(B286="SE",5,IF(B286="ALI",7,IF(B286="AIE",5,"")))),
        IF('Dados da OS'!$D$8=Parâmetros!$B$3,
           IF(OR(ISBLANK(D286),ISBLANK(F286)),"",
              IF(B286="ALI",IF(L286="L",7,IF(L286="A",10,15)),
                 IF(B286="AIE",IF(L286="L",5,IF(L286="A",7,10)),
                    IF(B286="SE",IF(L286="L",4,IF(L286="A",5,7)),
                       IF(OR(B286="EE",B286="CE"),IF(L286="L",3,IF(L286="A",4,6)),""))))))))),
   IF('Dados da OS'!$D$8=Parâmetros!$B$5,
      IF(OR(AND(B286="INM",N286&lt;&gt;"VF"),AND(N286="VF",B286&lt;&gt;"INM")),"",
         IF(B286="INM",IF(N286="VF",M286*H286,""),
            IF(B286="PE",4.6,
            IF(B286="AL",7,"")))),
   IF('Dados da OS'!$D$8=Parâmetros!$B$6,
      IF(B286="ALI",35,IF(B286="AIE",15,"")),""))
    )
)</f>
        <v/>
      </c>
      <c r="Q286" s="60" t="str">
        <f t="shared" si="31"/>
        <v/>
      </c>
      <c r="R286" s="61"/>
      <c r="S286" s="62"/>
      <c r="T286" s="80" t="s">
        <v>21</v>
      </c>
      <c r="U286" s="81"/>
      <c r="V286" s="99"/>
      <c r="W286" s="55"/>
      <c r="X286" s="55"/>
      <c r="Y286" s="56"/>
      <c r="Z286" s="55"/>
      <c r="AA286" s="56"/>
      <c r="AB286" s="55"/>
      <c r="AC286" s="57" t="str">
        <f t="shared" si="32"/>
        <v/>
      </c>
      <c r="AD286" s="57" t="str">
        <f t="shared" si="33"/>
        <v/>
      </c>
      <c r="AE286" s="57" t="str">
        <f xml:space="preserve">
IF(OR('Dados da OS'!$D$8=Parâmetros!$B$3,'Dados da OS'!$D$8=Parâmetros!$B$4),
  IF(OR(ISBLANK(X286),ISBLANK(Z286)),
     IF(OR(V286="ALI",V286="AIE"),"L",IF(ISBLANK(V286),"","A")),
     IF(V286="EE",IF(Z286&gt;=3,IF(X286&gt;=5,"H","A"),
     IF(Z286&gt;=2,IF(X286&gt;=16,"H",IF(X286&lt;=4,"L","A")),IF(X286&lt;=15,"L","A"))),
     IF(OR(V286="SE",V286="CE"),IF(Z286&gt;=4,IF(X286&gt;=6,"H","A"),IF(Z286&gt;=2,IF(X286&gt;=20,"H",IF(X286&lt;=5,"L","A")),IF(X286&lt;=19,"L","A"))),
     IF(OR(V286="ALI",V286="AIE"),IF(Z286&gt;=6,IF(X286&gt;=20,"H","A"),IF(Z286&gt;=2,IF(X286&gt;=51,"H",IF(X286&lt;=19,"L","A")),IF(X286&lt;=50,"L","A"))))))),
IF('Dados da OS'!$D$8=Parâmetros!$B$6,"Indicativa",
IF('Dados da OS'!$D$8=Parâmetros!$B$5,"PFS","")))</f>
        <v/>
      </c>
      <c r="AF286" s="57">
        <f>IFERROR(VLOOKUP(W286,'Fatores de Impacto e INMs'!$A$3:$D$32,3,0),1)</f>
        <v>1</v>
      </c>
      <c r="AG286" s="57">
        <f>IFERROR(VLOOKUP(W286,'Fatores de Impacto e INMs'!$A$3:$E$32,5,0),1)</f>
        <v>1</v>
      </c>
      <c r="AH286" s="82" t="str">
        <f xml:space="preserve">
IF(OR('Dados da OS'!$D$8="Selecione o tipo da contagem",ISBLANK('Dados da OS'!$D$8),V286="INM",V286="N/A",ISBLANK(V286),ISBLANK(W286),AG286="VF"),"-",
   IF('Dados da OS'!$D$8=Parâmetros!$B$3,
      IF(OR(ISBLANK(X286),ISBLANK(Z286)),"-",
         IF(AE286="L","Baixa",IF(AE286="A","Média",IF(AE286="H","Alta","-")))),
      IF('Dados da OS'!$D$8=Parâmetros!$B$4,
         IF(OR(V286="ALI",V286="AIE"),"Baixa",IF(OR(V286="EE",V286="SE",V286="CE"),"Média","-")),
         IF(OR('Dados da OS'!$D$8=Parâmetros!$B$5,'Dados da OS'!$D$8=Parâmetros!$B$6),"-"))))</f>
        <v>-</v>
      </c>
      <c r="AI286" s="83" t="str">
        <f xml:space="preserve">
IF(OR(ISBLANK(V286),ISBLANK(U286),ISBLANK(W286),V286="N/A",ISBLANK('Dados da OS'!$D$8)),"",
   IF(OR('Dados da OS'!$D$8=Parâmetros!$B$3,'Dados da OS'!$D$8=Parâmetros!$B$4),
      IF(OR(AND(V286="INM",AG286&lt;&gt;"VF"),AND(AG286="VF",V286&lt;&gt;"INM")),"",
        IF(AND(V286="INM",AG286="VF"),IF(ISBLANK(AB286),"",AF286*AB286),
        IF('Dados da OS'!$D$8=Parâmetros!$B$4,
           IF(OR(V286="CE",V286="EE"),4,IF(V286="SE",5,IF(V286="ALI",7,IF(V286="AIE",5,"")))),
        IF('Dados da OS'!$D$8=Parâmetros!$B$3,
           IF(OR(ISBLANK(X286),ISBLANK(Z286)),"",
              IF(V286="ALI",IF(AE286="L",7,IF(AE286="A",10,15)),
                 IF(V286="AIE",IF(AE286="L",5,IF(AE286="A",7,10)),
                    IF(V286="SE",IF(AE286="L",4,IF(AE286="A",5,7)),
                       IF(OR(V286="EE",V286="CE"),IF(AE286="L",3,IF(AE286="A",4,6)),""))))))))),
   IF('Dados da OS'!$D$8=Parâmetros!$B$5,
      IF(OR(AND(V286="INM",AG286&lt;&gt;"VF"),AND(AG286="VF",V286&lt;&gt;"INM")),"",
         IF(V286="INM",IF(AG286="VF",AF286*AB286,""),
            IF(V286="PE",4.6,
            IF(V286="AL",7,"")))),
   IF('Dados da OS'!$D$8=Parâmetros!$B$6,
      IF(V286="ALI",35,IF(V286="AIE",15,"")),""))
    )
)</f>
        <v/>
      </c>
      <c r="AJ286" s="82" t="str">
        <f t="shared" si="34"/>
        <v/>
      </c>
      <c r="AK286" s="84"/>
      <c r="AL286" s="85" t="s">
        <v>21</v>
      </c>
      <c r="AM286" s="86"/>
      <c r="AN286" s="85"/>
      <c r="AO286" s="87"/>
      <c r="AP286" s="85"/>
      <c r="AQ286" s="86"/>
      <c r="AR286" s="85"/>
    </row>
    <row r="287" spans="1:44" ht="15.75" customHeight="1">
      <c r="A287" s="54"/>
      <c r="B287" s="100"/>
      <c r="C287" s="55"/>
      <c r="D287" s="55"/>
      <c r="E287" s="56"/>
      <c r="F287" s="55"/>
      <c r="G287" s="56"/>
      <c r="H287" s="55"/>
      <c r="I287" s="64"/>
      <c r="J287" s="57" t="str">
        <f t="shared" si="29"/>
        <v/>
      </c>
      <c r="K287" s="57" t="str">
        <f t="shared" si="30"/>
        <v/>
      </c>
      <c r="L287" s="57" t="str">
        <f xml:space="preserve">
IF(OR('Dados da OS'!$D$8=Parâmetros!$B$3,'Dados da OS'!$D$8=Parâmetros!$B$4),
  IF(OR(ISBLANK(D287),ISBLANK(F287)),
     IF(OR(B287="ALI",B287="AIE"),"L",IF(ISBLANK(B287),"","A")),
     IF(B287="EE",IF(F287&gt;=3,IF(D287&gt;=5,"H","A"),
     IF(F287&gt;=2,IF(D287&gt;=16,"H",IF(D287&lt;=4,"L","A")),IF(D287&lt;=15,"L","A"))),
     IF(OR(B287="SE",B287="CE"),IF(F287&gt;=4,IF(D287&gt;=6,"H","A"),IF(F287&gt;=2,IF(D287&gt;=20,"H",IF(D287&lt;=5,"L","A")),IF(D287&lt;=19,"L","A"))),
     IF(OR(B287="ALI",B287="AIE"),IF(F287&gt;=6,IF(D287&gt;=20,"H","A"),IF(F287&gt;=2,IF(D287&gt;=51,"H",IF(D287&lt;=19,"L","A")),IF(D287&lt;=50,"L","A"))))))),
IF('Dados da OS'!$D$8=Parâmetros!$B$6,"Indicativa",
IF('Dados da OS'!$D$8=Parâmetros!$B$5,"PFS","")))</f>
        <v/>
      </c>
      <c r="M287" s="57">
        <f>IFERROR(VLOOKUP(C287,'Fatores de Impacto e INMs'!$A$3:$D$32,3,0),1)</f>
        <v>1</v>
      </c>
      <c r="N287" s="57">
        <f>IFERROR(VLOOKUP(C287,'Fatores de Impacto e INMs'!$A$3:$E$32,5,0),1)</f>
        <v>1</v>
      </c>
      <c r="O287" s="63" t="str">
        <f xml:space="preserve">
IF(OR('Dados da OS'!$D$8="Selecione o tipo da contagem",ISBLANK('Dados da OS'!$D$8),B287="INM",B287="N/A",ISBLANK(B287),ISBLANK(C287),N287="VF"),"-",
   IF('Dados da OS'!$D$8=Parâmetros!$B$3,
      IF(OR(ISBLANK(D287),ISBLANK(F287)),"-",
         IF(L287="L","Baixa",IF(L287="A","Média",IF(L287="H","Alta","-")))),
      IF('Dados da OS'!$D$8=Parâmetros!$B$4,
         IF(OR(B287="ALI",B287="AIE"),"Baixa",IF(OR(B287="EE",B287="SE",B287="CE"),"Média","-")),
         IF(OR('Dados da OS'!$D$8=Parâmetros!$B$5,'Dados da OS'!$D$8=Parâmetros!$B$6),"-"))))</f>
        <v>-</v>
      </c>
      <c r="P287" s="59" t="str">
        <f xml:space="preserve">
IF(OR(ISBLANK(B287),ISBLANK(C287),B287="N/A",ISBLANK('Dados da OS'!$D$8)),"",
   IF(OR('Dados da OS'!$D$8=Parâmetros!$B$3,'Dados da OS'!$D$8=Parâmetros!$B$4),
      IF(OR(AND(B287="INM",N287&lt;&gt;"VF"),AND(N287="VF",B287&lt;&gt;"INM")),"",
        IF(AND(B287="INM",N287="VF"),IF(ISBLANK(H287),"",M287*H287),
        IF('Dados da OS'!$D$8=Parâmetros!$B$4,
           IF(OR(B287="CE",B287="EE"),4,IF(B287="SE",5,IF(B287="ALI",7,IF(B287="AIE",5,"")))),
        IF('Dados da OS'!$D$8=Parâmetros!$B$3,
           IF(OR(ISBLANK(D287),ISBLANK(F287)),"",
              IF(B287="ALI",IF(L287="L",7,IF(L287="A",10,15)),
                 IF(B287="AIE",IF(L287="L",5,IF(L287="A",7,10)),
                    IF(B287="SE",IF(L287="L",4,IF(L287="A",5,7)),
                       IF(OR(B287="EE",B287="CE"),IF(L287="L",3,IF(L287="A",4,6)),""))))))))),
   IF('Dados da OS'!$D$8=Parâmetros!$B$5,
      IF(OR(AND(B287="INM",N287&lt;&gt;"VF"),AND(N287="VF",B287&lt;&gt;"INM")),"",
         IF(B287="INM",IF(N287="VF",M287*H287,""),
            IF(B287="PE",4.6,
            IF(B287="AL",7,"")))),
   IF('Dados da OS'!$D$8=Parâmetros!$B$6,
      IF(B287="ALI",35,IF(B287="AIE",15,"")),""))
    )
)</f>
        <v/>
      </c>
      <c r="Q287" s="60" t="str">
        <f t="shared" si="31"/>
        <v/>
      </c>
      <c r="R287" s="61"/>
      <c r="S287" s="62"/>
      <c r="T287" s="80" t="s">
        <v>21</v>
      </c>
      <c r="U287" s="81"/>
      <c r="V287" s="99"/>
      <c r="W287" s="55"/>
      <c r="X287" s="55"/>
      <c r="Y287" s="56"/>
      <c r="Z287" s="55"/>
      <c r="AA287" s="56"/>
      <c r="AB287" s="55"/>
      <c r="AC287" s="57" t="str">
        <f t="shared" si="32"/>
        <v/>
      </c>
      <c r="AD287" s="57" t="str">
        <f t="shared" si="33"/>
        <v/>
      </c>
      <c r="AE287" s="57" t="str">
        <f xml:space="preserve">
IF(OR('Dados da OS'!$D$8=Parâmetros!$B$3,'Dados da OS'!$D$8=Parâmetros!$B$4),
  IF(OR(ISBLANK(X287),ISBLANK(Z287)),
     IF(OR(V287="ALI",V287="AIE"),"L",IF(ISBLANK(V287),"","A")),
     IF(V287="EE",IF(Z287&gt;=3,IF(X287&gt;=5,"H","A"),
     IF(Z287&gt;=2,IF(X287&gt;=16,"H",IF(X287&lt;=4,"L","A")),IF(X287&lt;=15,"L","A"))),
     IF(OR(V287="SE",V287="CE"),IF(Z287&gt;=4,IF(X287&gt;=6,"H","A"),IF(Z287&gt;=2,IF(X287&gt;=20,"H",IF(X287&lt;=5,"L","A")),IF(X287&lt;=19,"L","A"))),
     IF(OR(V287="ALI",V287="AIE"),IF(Z287&gt;=6,IF(X287&gt;=20,"H","A"),IF(Z287&gt;=2,IF(X287&gt;=51,"H",IF(X287&lt;=19,"L","A")),IF(X287&lt;=50,"L","A"))))))),
IF('Dados da OS'!$D$8=Parâmetros!$B$6,"Indicativa",
IF('Dados da OS'!$D$8=Parâmetros!$B$5,"PFS","")))</f>
        <v/>
      </c>
      <c r="AF287" s="57">
        <f>IFERROR(VLOOKUP(W287,'Fatores de Impacto e INMs'!$A$3:$D$32,3,0),1)</f>
        <v>1</v>
      </c>
      <c r="AG287" s="57">
        <f>IFERROR(VLOOKUP(W287,'Fatores de Impacto e INMs'!$A$3:$E$32,5,0),1)</f>
        <v>1</v>
      </c>
      <c r="AH287" s="82" t="str">
        <f xml:space="preserve">
IF(OR('Dados da OS'!$D$8="Selecione o tipo da contagem",ISBLANK('Dados da OS'!$D$8),V287="INM",V287="N/A",ISBLANK(V287),ISBLANK(W287),AG287="VF"),"-",
   IF('Dados da OS'!$D$8=Parâmetros!$B$3,
      IF(OR(ISBLANK(X287),ISBLANK(Z287)),"-",
         IF(AE287="L","Baixa",IF(AE287="A","Média",IF(AE287="H","Alta","-")))),
      IF('Dados da OS'!$D$8=Parâmetros!$B$4,
         IF(OR(V287="ALI",V287="AIE"),"Baixa",IF(OR(V287="EE",V287="SE",V287="CE"),"Média","-")),
         IF(OR('Dados da OS'!$D$8=Parâmetros!$B$5,'Dados da OS'!$D$8=Parâmetros!$B$6),"-"))))</f>
        <v>-</v>
      </c>
      <c r="AI287" s="83" t="str">
        <f xml:space="preserve">
IF(OR(ISBLANK(V287),ISBLANK(U287),ISBLANK(W287),V287="N/A",ISBLANK('Dados da OS'!$D$8)),"",
   IF(OR('Dados da OS'!$D$8=Parâmetros!$B$3,'Dados da OS'!$D$8=Parâmetros!$B$4),
      IF(OR(AND(V287="INM",AG287&lt;&gt;"VF"),AND(AG287="VF",V287&lt;&gt;"INM")),"",
        IF(AND(V287="INM",AG287="VF"),IF(ISBLANK(AB287),"",AF287*AB287),
        IF('Dados da OS'!$D$8=Parâmetros!$B$4,
           IF(OR(V287="CE",V287="EE"),4,IF(V287="SE",5,IF(V287="ALI",7,IF(V287="AIE",5,"")))),
        IF('Dados da OS'!$D$8=Parâmetros!$B$3,
           IF(OR(ISBLANK(X287),ISBLANK(Z287)),"",
              IF(V287="ALI",IF(AE287="L",7,IF(AE287="A",10,15)),
                 IF(V287="AIE",IF(AE287="L",5,IF(AE287="A",7,10)),
                    IF(V287="SE",IF(AE287="L",4,IF(AE287="A",5,7)),
                       IF(OR(V287="EE",V287="CE"),IF(AE287="L",3,IF(AE287="A",4,6)),""))))))))),
   IF('Dados da OS'!$D$8=Parâmetros!$B$5,
      IF(OR(AND(V287="INM",AG287&lt;&gt;"VF"),AND(AG287="VF",V287&lt;&gt;"INM")),"",
         IF(V287="INM",IF(AG287="VF",AF287*AB287,""),
            IF(V287="PE",4.6,
            IF(V287="AL",7,"")))),
   IF('Dados da OS'!$D$8=Parâmetros!$B$6,
      IF(V287="ALI",35,IF(V287="AIE",15,"")),""))
    )
)</f>
        <v/>
      </c>
      <c r="AJ287" s="82" t="str">
        <f t="shared" si="34"/>
        <v/>
      </c>
      <c r="AK287" s="84"/>
      <c r="AL287" s="85" t="s">
        <v>21</v>
      </c>
      <c r="AM287" s="86"/>
      <c r="AN287" s="85"/>
      <c r="AO287" s="87"/>
      <c r="AP287" s="85"/>
      <c r="AQ287" s="86"/>
      <c r="AR287" s="85"/>
    </row>
    <row r="288" spans="1:44" ht="15.75" customHeight="1">
      <c r="A288" s="54"/>
      <c r="B288" s="100"/>
      <c r="C288" s="55"/>
      <c r="D288" s="55"/>
      <c r="E288" s="56"/>
      <c r="F288" s="55"/>
      <c r="G288" s="56"/>
      <c r="H288" s="55"/>
      <c r="I288" s="64"/>
      <c r="J288" s="57" t="str">
        <f t="shared" si="29"/>
        <v/>
      </c>
      <c r="K288" s="57" t="str">
        <f t="shared" si="30"/>
        <v/>
      </c>
      <c r="L288" s="57" t="str">
        <f xml:space="preserve">
IF(OR('Dados da OS'!$D$8=Parâmetros!$B$3,'Dados da OS'!$D$8=Parâmetros!$B$4),
  IF(OR(ISBLANK(D288),ISBLANK(F288)),
     IF(OR(B288="ALI",B288="AIE"),"L",IF(ISBLANK(B288),"","A")),
     IF(B288="EE",IF(F288&gt;=3,IF(D288&gt;=5,"H","A"),
     IF(F288&gt;=2,IF(D288&gt;=16,"H",IF(D288&lt;=4,"L","A")),IF(D288&lt;=15,"L","A"))),
     IF(OR(B288="SE",B288="CE"),IF(F288&gt;=4,IF(D288&gt;=6,"H","A"),IF(F288&gt;=2,IF(D288&gt;=20,"H",IF(D288&lt;=5,"L","A")),IF(D288&lt;=19,"L","A"))),
     IF(OR(B288="ALI",B288="AIE"),IF(F288&gt;=6,IF(D288&gt;=20,"H","A"),IF(F288&gt;=2,IF(D288&gt;=51,"H",IF(D288&lt;=19,"L","A")),IF(D288&lt;=50,"L","A"))))))),
IF('Dados da OS'!$D$8=Parâmetros!$B$6,"Indicativa",
IF('Dados da OS'!$D$8=Parâmetros!$B$5,"PFS","")))</f>
        <v/>
      </c>
      <c r="M288" s="57">
        <f>IFERROR(VLOOKUP(C288,'Fatores de Impacto e INMs'!$A$3:$D$32,3,0),1)</f>
        <v>1</v>
      </c>
      <c r="N288" s="57">
        <f>IFERROR(VLOOKUP(C288,'Fatores de Impacto e INMs'!$A$3:$E$32,5,0),1)</f>
        <v>1</v>
      </c>
      <c r="O288" s="63" t="str">
        <f xml:space="preserve">
IF(OR('Dados da OS'!$D$8="Selecione o tipo da contagem",ISBLANK('Dados da OS'!$D$8),B288="INM",B288="N/A",ISBLANK(B288),ISBLANK(C288),N288="VF"),"-",
   IF('Dados da OS'!$D$8=Parâmetros!$B$3,
      IF(OR(ISBLANK(D288),ISBLANK(F288)),"-",
         IF(L288="L","Baixa",IF(L288="A","Média",IF(L288="H","Alta","-")))),
      IF('Dados da OS'!$D$8=Parâmetros!$B$4,
         IF(OR(B288="ALI",B288="AIE"),"Baixa",IF(OR(B288="EE",B288="SE",B288="CE"),"Média","-")),
         IF(OR('Dados da OS'!$D$8=Parâmetros!$B$5,'Dados da OS'!$D$8=Parâmetros!$B$6),"-"))))</f>
        <v>-</v>
      </c>
      <c r="P288" s="59" t="str">
        <f xml:space="preserve">
IF(OR(ISBLANK(B288),ISBLANK(C288),B288="N/A",ISBLANK('Dados da OS'!$D$8)),"",
   IF(OR('Dados da OS'!$D$8=Parâmetros!$B$3,'Dados da OS'!$D$8=Parâmetros!$B$4),
      IF(OR(AND(B288="INM",N288&lt;&gt;"VF"),AND(N288="VF",B288&lt;&gt;"INM")),"",
        IF(AND(B288="INM",N288="VF"),IF(ISBLANK(H288),"",M288*H288),
        IF('Dados da OS'!$D$8=Parâmetros!$B$4,
           IF(OR(B288="CE",B288="EE"),4,IF(B288="SE",5,IF(B288="ALI",7,IF(B288="AIE",5,"")))),
        IF('Dados da OS'!$D$8=Parâmetros!$B$3,
           IF(OR(ISBLANK(D288),ISBLANK(F288)),"",
              IF(B288="ALI",IF(L288="L",7,IF(L288="A",10,15)),
                 IF(B288="AIE",IF(L288="L",5,IF(L288="A",7,10)),
                    IF(B288="SE",IF(L288="L",4,IF(L288="A",5,7)),
                       IF(OR(B288="EE",B288="CE"),IF(L288="L",3,IF(L288="A",4,6)),""))))))))),
   IF('Dados da OS'!$D$8=Parâmetros!$B$5,
      IF(OR(AND(B288="INM",N288&lt;&gt;"VF"),AND(N288="VF",B288&lt;&gt;"INM")),"",
         IF(B288="INM",IF(N288="VF",M288*H288,""),
            IF(B288="PE",4.6,
            IF(B288="AL",7,"")))),
   IF('Dados da OS'!$D$8=Parâmetros!$B$6,
      IF(B288="ALI",35,IF(B288="AIE",15,"")),""))
    )
)</f>
        <v/>
      </c>
      <c r="Q288" s="60" t="str">
        <f t="shared" si="31"/>
        <v/>
      </c>
      <c r="R288" s="61"/>
      <c r="S288" s="62"/>
      <c r="T288" s="80" t="s">
        <v>21</v>
      </c>
      <c r="U288" s="81"/>
      <c r="V288" s="99"/>
      <c r="W288" s="55"/>
      <c r="X288" s="55"/>
      <c r="Y288" s="56"/>
      <c r="Z288" s="55"/>
      <c r="AA288" s="56"/>
      <c r="AB288" s="55"/>
      <c r="AC288" s="57" t="str">
        <f t="shared" si="32"/>
        <v/>
      </c>
      <c r="AD288" s="57" t="str">
        <f t="shared" si="33"/>
        <v/>
      </c>
      <c r="AE288" s="57" t="str">
        <f xml:space="preserve">
IF(OR('Dados da OS'!$D$8=Parâmetros!$B$3,'Dados da OS'!$D$8=Parâmetros!$B$4),
  IF(OR(ISBLANK(X288),ISBLANK(Z288)),
     IF(OR(V288="ALI",V288="AIE"),"L",IF(ISBLANK(V288),"","A")),
     IF(V288="EE",IF(Z288&gt;=3,IF(X288&gt;=5,"H","A"),
     IF(Z288&gt;=2,IF(X288&gt;=16,"H",IF(X288&lt;=4,"L","A")),IF(X288&lt;=15,"L","A"))),
     IF(OR(V288="SE",V288="CE"),IF(Z288&gt;=4,IF(X288&gt;=6,"H","A"),IF(Z288&gt;=2,IF(X288&gt;=20,"H",IF(X288&lt;=5,"L","A")),IF(X288&lt;=19,"L","A"))),
     IF(OR(V288="ALI",V288="AIE"),IF(Z288&gt;=6,IF(X288&gt;=20,"H","A"),IF(Z288&gt;=2,IF(X288&gt;=51,"H",IF(X288&lt;=19,"L","A")),IF(X288&lt;=50,"L","A"))))))),
IF('Dados da OS'!$D$8=Parâmetros!$B$6,"Indicativa",
IF('Dados da OS'!$D$8=Parâmetros!$B$5,"PFS","")))</f>
        <v/>
      </c>
      <c r="AF288" s="57">
        <f>IFERROR(VLOOKUP(W288,'Fatores de Impacto e INMs'!$A$3:$D$32,3,0),1)</f>
        <v>1</v>
      </c>
      <c r="AG288" s="57">
        <f>IFERROR(VLOOKUP(W288,'Fatores de Impacto e INMs'!$A$3:$E$32,5,0),1)</f>
        <v>1</v>
      </c>
      <c r="AH288" s="82" t="str">
        <f xml:space="preserve">
IF(OR('Dados da OS'!$D$8="Selecione o tipo da contagem",ISBLANK('Dados da OS'!$D$8),V288="INM",V288="N/A",ISBLANK(V288),ISBLANK(W288),AG288="VF"),"-",
   IF('Dados da OS'!$D$8=Parâmetros!$B$3,
      IF(OR(ISBLANK(X288),ISBLANK(Z288)),"-",
         IF(AE288="L","Baixa",IF(AE288="A","Média",IF(AE288="H","Alta","-")))),
      IF('Dados da OS'!$D$8=Parâmetros!$B$4,
         IF(OR(V288="ALI",V288="AIE"),"Baixa",IF(OR(V288="EE",V288="SE",V288="CE"),"Média","-")),
         IF(OR('Dados da OS'!$D$8=Parâmetros!$B$5,'Dados da OS'!$D$8=Parâmetros!$B$6),"-"))))</f>
        <v>-</v>
      </c>
      <c r="AI288" s="83" t="str">
        <f xml:space="preserve">
IF(OR(ISBLANK(V288),ISBLANK(U288),ISBLANK(W288),V288="N/A",ISBLANK('Dados da OS'!$D$8)),"",
   IF(OR('Dados da OS'!$D$8=Parâmetros!$B$3,'Dados da OS'!$D$8=Parâmetros!$B$4),
      IF(OR(AND(V288="INM",AG288&lt;&gt;"VF"),AND(AG288="VF",V288&lt;&gt;"INM")),"",
        IF(AND(V288="INM",AG288="VF"),IF(ISBLANK(AB288),"",AF288*AB288),
        IF('Dados da OS'!$D$8=Parâmetros!$B$4,
           IF(OR(V288="CE",V288="EE"),4,IF(V288="SE",5,IF(V288="ALI",7,IF(V288="AIE",5,"")))),
        IF('Dados da OS'!$D$8=Parâmetros!$B$3,
           IF(OR(ISBLANK(X288),ISBLANK(Z288)),"",
              IF(V288="ALI",IF(AE288="L",7,IF(AE288="A",10,15)),
                 IF(V288="AIE",IF(AE288="L",5,IF(AE288="A",7,10)),
                    IF(V288="SE",IF(AE288="L",4,IF(AE288="A",5,7)),
                       IF(OR(V288="EE",V288="CE"),IF(AE288="L",3,IF(AE288="A",4,6)),""))))))))),
   IF('Dados da OS'!$D$8=Parâmetros!$B$5,
      IF(OR(AND(V288="INM",AG288&lt;&gt;"VF"),AND(AG288="VF",V288&lt;&gt;"INM")),"",
         IF(V288="INM",IF(AG288="VF",AF288*AB288,""),
            IF(V288="PE",4.6,
            IF(V288="AL",7,"")))),
   IF('Dados da OS'!$D$8=Parâmetros!$B$6,
      IF(V288="ALI",35,IF(V288="AIE",15,"")),""))
    )
)</f>
        <v/>
      </c>
      <c r="AJ288" s="82" t="str">
        <f t="shared" si="34"/>
        <v/>
      </c>
      <c r="AK288" s="84"/>
      <c r="AL288" s="85" t="s">
        <v>21</v>
      </c>
      <c r="AM288" s="86"/>
      <c r="AN288" s="85"/>
      <c r="AO288" s="87"/>
      <c r="AP288" s="85"/>
      <c r="AQ288" s="86"/>
      <c r="AR288" s="85"/>
    </row>
    <row r="289" spans="1:44" ht="15.75" customHeight="1">
      <c r="A289" s="54"/>
      <c r="B289" s="100"/>
      <c r="C289" s="55"/>
      <c r="D289" s="55"/>
      <c r="E289" s="56"/>
      <c r="F289" s="55"/>
      <c r="G289" s="56"/>
      <c r="H289" s="55"/>
      <c r="I289" s="64"/>
      <c r="J289" s="57" t="str">
        <f t="shared" si="29"/>
        <v/>
      </c>
      <c r="K289" s="57" t="str">
        <f t="shared" si="30"/>
        <v/>
      </c>
      <c r="L289" s="57" t="str">
        <f xml:space="preserve">
IF(OR('Dados da OS'!$D$8=Parâmetros!$B$3,'Dados da OS'!$D$8=Parâmetros!$B$4),
  IF(OR(ISBLANK(D289),ISBLANK(F289)),
     IF(OR(B289="ALI",B289="AIE"),"L",IF(ISBLANK(B289),"","A")),
     IF(B289="EE",IF(F289&gt;=3,IF(D289&gt;=5,"H","A"),
     IF(F289&gt;=2,IF(D289&gt;=16,"H",IF(D289&lt;=4,"L","A")),IF(D289&lt;=15,"L","A"))),
     IF(OR(B289="SE",B289="CE"),IF(F289&gt;=4,IF(D289&gt;=6,"H","A"),IF(F289&gt;=2,IF(D289&gt;=20,"H",IF(D289&lt;=5,"L","A")),IF(D289&lt;=19,"L","A"))),
     IF(OR(B289="ALI",B289="AIE"),IF(F289&gt;=6,IF(D289&gt;=20,"H","A"),IF(F289&gt;=2,IF(D289&gt;=51,"H",IF(D289&lt;=19,"L","A")),IF(D289&lt;=50,"L","A"))))))),
IF('Dados da OS'!$D$8=Parâmetros!$B$6,"Indicativa",
IF('Dados da OS'!$D$8=Parâmetros!$B$5,"PFS","")))</f>
        <v/>
      </c>
      <c r="M289" s="57">
        <f>IFERROR(VLOOKUP(C289,'Fatores de Impacto e INMs'!$A$3:$D$32,3,0),1)</f>
        <v>1</v>
      </c>
      <c r="N289" s="57">
        <f>IFERROR(VLOOKUP(C289,'Fatores de Impacto e INMs'!$A$3:$E$32,5,0),1)</f>
        <v>1</v>
      </c>
      <c r="O289" s="63" t="str">
        <f xml:space="preserve">
IF(OR('Dados da OS'!$D$8="Selecione o tipo da contagem",ISBLANK('Dados da OS'!$D$8),B289="INM",B289="N/A",ISBLANK(B289),ISBLANK(C289),N289="VF"),"-",
   IF('Dados da OS'!$D$8=Parâmetros!$B$3,
      IF(OR(ISBLANK(D289),ISBLANK(F289)),"-",
         IF(L289="L","Baixa",IF(L289="A","Média",IF(L289="H","Alta","-")))),
      IF('Dados da OS'!$D$8=Parâmetros!$B$4,
         IF(OR(B289="ALI",B289="AIE"),"Baixa",IF(OR(B289="EE",B289="SE",B289="CE"),"Média","-")),
         IF(OR('Dados da OS'!$D$8=Parâmetros!$B$5,'Dados da OS'!$D$8=Parâmetros!$B$6),"-"))))</f>
        <v>-</v>
      </c>
      <c r="P289" s="59" t="str">
        <f xml:space="preserve">
IF(OR(ISBLANK(B289),ISBLANK(C289),B289="N/A",ISBLANK('Dados da OS'!$D$8)),"",
   IF(OR('Dados da OS'!$D$8=Parâmetros!$B$3,'Dados da OS'!$D$8=Parâmetros!$B$4),
      IF(OR(AND(B289="INM",N289&lt;&gt;"VF"),AND(N289="VF",B289&lt;&gt;"INM")),"",
        IF(AND(B289="INM",N289="VF"),IF(ISBLANK(H289),"",M289*H289),
        IF('Dados da OS'!$D$8=Parâmetros!$B$4,
           IF(OR(B289="CE",B289="EE"),4,IF(B289="SE",5,IF(B289="ALI",7,IF(B289="AIE",5,"")))),
        IF('Dados da OS'!$D$8=Parâmetros!$B$3,
           IF(OR(ISBLANK(D289),ISBLANK(F289)),"",
              IF(B289="ALI",IF(L289="L",7,IF(L289="A",10,15)),
                 IF(B289="AIE",IF(L289="L",5,IF(L289="A",7,10)),
                    IF(B289="SE",IF(L289="L",4,IF(L289="A",5,7)),
                       IF(OR(B289="EE",B289="CE"),IF(L289="L",3,IF(L289="A",4,6)),""))))))))),
   IF('Dados da OS'!$D$8=Parâmetros!$B$5,
      IF(OR(AND(B289="INM",N289&lt;&gt;"VF"),AND(N289="VF",B289&lt;&gt;"INM")),"",
         IF(B289="INM",IF(N289="VF",M289*H289,""),
            IF(B289="PE",4.6,
            IF(B289="AL",7,"")))),
   IF('Dados da OS'!$D$8=Parâmetros!$B$6,
      IF(B289="ALI",35,IF(B289="AIE",15,"")),""))
    )
)</f>
        <v/>
      </c>
      <c r="Q289" s="60" t="str">
        <f t="shared" si="31"/>
        <v/>
      </c>
      <c r="R289" s="61"/>
      <c r="S289" s="62"/>
      <c r="T289" s="80" t="s">
        <v>21</v>
      </c>
      <c r="U289" s="81"/>
      <c r="V289" s="99"/>
      <c r="W289" s="55"/>
      <c r="X289" s="55"/>
      <c r="Y289" s="56"/>
      <c r="Z289" s="55"/>
      <c r="AA289" s="56"/>
      <c r="AB289" s="55"/>
      <c r="AC289" s="57" t="str">
        <f t="shared" si="32"/>
        <v/>
      </c>
      <c r="AD289" s="57" t="str">
        <f t="shared" si="33"/>
        <v/>
      </c>
      <c r="AE289" s="57" t="str">
        <f xml:space="preserve">
IF(OR('Dados da OS'!$D$8=Parâmetros!$B$3,'Dados da OS'!$D$8=Parâmetros!$B$4),
  IF(OR(ISBLANK(X289),ISBLANK(Z289)),
     IF(OR(V289="ALI",V289="AIE"),"L",IF(ISBLANK(V289),"","A")),
     IF(V289="EE",IF(Z289&gt;=3,IF(X289&gt;=5,"H","A"),
     IF(Z289&gt;=2,IF(X289&gt;=16,"H",IF(X289&lt;=4,"L","A")),IF(X289&lt;=15,"L","A"))),
     IF(OR(V289="SE",V289="CE"),IF(Z289&gt;=4,IF(X289&gt;=6,"H","A"),IF(Z289&gt;=2,IF(X289&gt;=20,"H",IF(X289&lt;=5,"L","A")),IF(X289&lt;=19,"L","A"))),
     IF(OR(V289="ALI",V289="AIE"),IF(Z289&gt;=6,IF(X289&gt;=20,"H","A"),IF(Z289&gt;=2,IF(X289&gt;=51,"H",IF(X289&lt;=19,"L","A")),IF(X289&lt;=50,"L","A"))))))),
IF('Dados da OS'!$D$8=Parâmetros!$B$6,"Indicativa",
IF('Dados da OS'!$D$8=Parâmetros!$B$5,"PFS","")))</f>
        <v/>
      </c>
      <c r="AF289" s="57">
        <f>IFERROR(VLOOKUP(W289,'Fatores de Impacto e INMs'!$A$3:$D$32,3,0),1)</f>
        <v>1</v>
      </c>
      <c r="AG289" s="57">
        <f>IFERROR(VLOOKUP(W289,'Fatores de Impacto e INMs'!$A$3:$E$32,5,0),1)</f>
        <v>1</v>
      </c>
      <c r="AH289" s="82" t="str">
        <f xml:space="preserve">
IF(OR('Dados da OS'!$D$8="Selecione o tipo da contagem",ISBLANK('Dados da OS'!$D$8),V289="INM",V289="N/A",ISBLANK(V289),ISBLANK(W289),AG289="VF"),"-",
   IF('Dados da OS'!$D$8=Parâmetros!$B$3,
      IF(OR(ISBLANK(X289),ISBLANK(Z289)),"-",
         IF(AE289="L","Baixa",IF(AE289="A","Média",IF(AE289="H","Alta","-")))),
      IF('Dados da OS'!$D$8=Parâmetros!$B$4,
         IF(OR(V289="ALI",V289="AIE"),"Baixa",IF(OR(V289="EE",V289="SE",V289="CE"),"Média","-")),
         IF(OR('Dados da OS'!$D$8=Parâmetros!$B$5,'Dados da OS'!$D$8=Parâmetros!$B$6),"-"))))</f>
        <v>-</v>
      </c>
      <c r="AI289" s="83" t="str">
        <f xml:space="preserve">
IF(OR(ISBLANK(V289),ISBLANK(U289),ISBLANK(W289),V289="N/A",ISBLANK('Dados da OS'!$D$8)),"",
   IF(OR('Dados da OS'!$D$8=Parâmetros!$B$3,'Dados da OS'!$D$8=Parâmetros!$B$4),
      IF(OR(AND(V289="INM",AG289&lt;&gt;"VF"),AND(AG289="VF",V289&lt;&gt;"INM")),"",
        IF(AND(V289="INM",AG289="VF"),IF(ISBLANK(AB289),"",AF289*AB289),
        IF('Dados da OS'!$D$8=Parâmetros!$B$4,
           IF(OR(V289="CE",V289="EE"),4,IF(V289="SE",5,IF(V289="ALI",7,IF(V289="AIE",5,"")))),
        IF('Dados da OS'!$D$8=Parâmetros!$B$3,
           IF(OR(ISBLANK(X289),ISBLANK(Z289)),"",
              IF(V289="ALI",IF(AE289="L",7,IF(AE289="A",10,15)),
                 IF(V289="AIE",IF(AE289="L",5,IF(AE289="A",7,10)),
                    IF(V289="SE",IF(AE289="L",4,IF(AE289="A",5,7)),
                       IF(OR(V289="EE",V289="CE"),IF(AE289="L",3,IF(AE289="A",4,6)),""))))))))),
   IF('Dados da OS'!$D$8=Parâmetros!$B$5,
      IF(OR(AND(V289="INM",AG289&lt;&gt;"VF"),AND(AG289="VF",V289&lt;&gt;"INM")),"",
         IF(V289="INM",IF(AG289="VF",AF289*AB289,""),
            IF(V289="PE",4.6,
            IF(V289="AL",7,"")))),
   IF('Dados da OS'!$D$8=Parâmetros!$B$6,
      IF(V289="ALI",35,IF(V289="AIE",15,"")),""))
    )
)</f>
        <v/>
      </c>
      <c r="AJ289" s="82" t="str">
        <f t="shared" si="34"/>
        <v/>
      </c>
      <c r="AK289" s="84"/>
      <c r="AL289" s="85" t="s">
        <v>21</v>
      </c>
      <c r="AM289" s="86"/>
      <c r="AN289" s="85"/>
      <c r="AO289" s="87"/>
      <c r="AP289" s="85"/>
      <c r="AQ289" s="86"/>
      <c r="AR289" s="85"/>
    </row>
    <row r="290" spans="1:44" ht="15.75" customHeight="1">
      <c r="A290" s="54"/>
      <c r="B290" s="100"/>
      <c r="C290" s="55"/>
      <c r="D290" s="55"/>
      <c r="E290" s="56"/>
      <c r="F290" s="55"/>
      <c r="G290" s="56"/>
      <c r="H290" s="55"/>
      <c r="I290" s="64"/>
      <c r="J290" s="57" t="str">
        <f t="shared" si="29"/>
        <v/>
      </c>
      <c r="K290" s="57" t="str">
        <f t="shared" si="30"/>
        <v/>
      </c>
      <c r="L290" s="57" t="str">
        <f xml:space="preserve">
IF(OR('Dados da OS'!$D$8=Parâmetros!$B$3,'Dados da OS'!$D$8=Parâmetros!$B$4),
  IF(OR(ISBLANK(D290),ISBLANK(F290)),
     IF(OR(B290="ALI",B290="AIE"),"L",IF(ISBLANK(B290),"","A")),
     IF(B290="EE",IF(F290&gt;=3,IF(D290&gt;=5,"H","A"),
     IF(F290&gt;=2,IF(D290&gt;=16,"H",IF(D290&lt;=4,"L","A")),IF(D290&lt;=15,"L","A"))),
     IF(OR(B290="SE",B290="CE"),IF(F290&gt;=4,IF(D290&gt;=6,"H","A"),IF(F290&gt;=2,IF(D290&gt;=20,"H",IF(D290&lt;=5,"L","A")),IF(D290&lt;=19,"L","A"))),
     IF(OR(B290="ALI",B290="AIE"),IF(F290&gt;=6,IF(D290&gt;=20,"H","A"),IF(F290&gt;=2,IF(D290&gt;=51,"H",IF(D290&lt;=19,"L","A")),IF(D290&lt;=50,"L","A"))))))),
IF('Dados da OS'!$D$8=Parâmetros!$B$6,"Indicativa",
IF('Dados da OS'!$D$8=Parâmetros!$B$5,"PFS","")))</f>
        <v/>
      </c>
      <c r="M290" s="57">
        <f>IFERROR(VLOOKUP(C290,'Fatores de Impacto e INMs'!$A$3:$D$32,3,0),1)</f>
        <v>1</v>
      </c>
      <c r="N290" s="57">
        <f>IFERROR(VLOOKUP(C290,'Fatores de Impacto e INMs'!$A$3:$E$32,5,0),1)</f>
        <v>1</v>
      </c>
      <c r="O290" s="63" t="str">
        <f xml:space="preserve">
IF(OR('Dados da OS'!$D$8="Selecione o tipo da contagem",ISBLANK('Dados da OS'!$D$8),B290="INM",B290="N/A",ISBLANK(B290),ISBLANK(C290),N290="VF"),"-",
   IF('Dados da OS'!$D$8=Parâmetros!$B$3,
      IF(OR(ISBLANK(D290),ISBLANK(F290)),"-",
         IF(L290="L","Baixa",IF(L290="A","Média",IF(L290="H","Alta","-")))),
      IF('Dados da OS'!$D$8=Parâmetros!$B$4,
         IF(OR(B290="ALI",B290="AIE"),"Baixa",IF(OR(B290="EE",B290="SE",B290="CE"),"Média","-")),
         IF(OR('Dados da OS'!$D$8=Parâmetros!$B$5,'Dados da OS'!$D$8=Parâmetros!$B$6),"-"))))</f>
        <v>-</v>
      </c>
      <c r="P290" s="59" t="str">
        <f xml:space="preserve">
IF(OR(ISBLANK(B290),ISBLANK(C290),B290="N/A",ISBLANK('Dados da OS'!$D$8)),"",
   IF(OR('Dados da OS'!$D$8=Parâmetros!$B$3,'Dados da OS'!$D$8=Parâmetros!$B$4),
      IF(OR(AND(B290="INM",N290&lt;&gt;"VF"),AND(N290="VF",B290&lt;&gt;"INM")),"",
        IF(AND(B290="INM",N290="VF"),IF(ISBLANK(H290),"",M290*H290),
        IF('Dados da OS'!$D$8=Parâmetros!$B$4,
           IF(OR(B290="CE",B290="EE"),4,IF(B290="SE",5,IF(B290="ALI",7,IF(B290="AIE",5,"")))),
        IF('Dados da OS'!$D$8=Parâmetros!$B$3,
           IF(OR(ISBLANK(D290),ISBLANK(F290)),"",
              IF(B290="ALI",IF(L290="L",7,IF(L290="A",10,15)),
                 IF(B290="AIE",IF(L290="L",5,IF(L290="A",7,10)),
                    IF(B290="SE",IF(L290="L",4,IF(L290="A",5,7)),
                       IF(OR(B290="EE",B290="CE"),IF(L290="L",3,IF(L290="A",4,6)),""))))))))),
   IF('Dados da OS'!$D$8=Parâmetros!$B$5,
      IF(OR(AND(B290="INM",N290&lt;&gt;"VF"),AND(N290="VF",B290&lt;&gt;"INM")),"",
         IF(B290="INM",IF(N290="VF",M290*H290,""),
            IF(B290="PE",4.6,
            IF(B290="AL",7,"")))),
   IF('Dados da OS'!$D$8=Parâmetros!$B$6,
      IF(B290="ALI",35,IF(B290="AIE",15,"")),""))
    )
)</f>
        <v/>
      </c>
      <c r="Q290" s="60" t="str">
        <f t="shared" si="31"/>
        <v/>
      </c>
      <c r="R290" s="61"/>
      <c r="S290" s="62"/>
      <c r="T290" s="80" t="s">
        <v>21</v>
      </c>
      <c r="U290" s="81"/>
      <c r="V290" s="99"/>
      <c r="W290" s="55"/>
      <c r="X290" s="55"/>
      <c r="Y290" s="56"/>
      <c r="Z290" s="55"/>
      <c r="AA290" s="56"/>
      <c r="AB290" s="55"/>
      <c r="AC290" s="57" t="str">
        <f t="shared" si="32"/>
        <v/>
      </c>
      <c r="AD290" s="57" t="str">
        <f t="shared" si="33"/>
        <v/>
      </c>
      <c r="AE290" s="57" t="str">
        <f xml:space="preserve">
IF(OR('Dados da OS'!$D$8=Parâmetros!$B$3,'Dados da OS'!$D$8=Parâmetros!$B$4),
  IF(OR(ISBLANK(X290),ISBLANK(Z290)),
     IF(OR(V290="ALI",V290="AIE"),"L",IF(ISBLANK(V290),"","A")),
     IF(V290="EE",IF(Z290&gt;=3,IF(X290&gt;=5,"H","A"),
     IF(Z290&gt;=2,IF(X290&gt;=16,"H",IF(X290&lt;=4,"L","A")),IF(X290&lt;=15,"L","A"))),
     IF(OR(V290="SE",V290="CE"),IF(Z290&gt;=4,IF(X290&gt;=6,"H","A"),IF(Z290&gt;=2,IF(X290&gt;=20,"H",IF(X290&lt;=5,"L","A")),IF(X290&lt;=19,"L","A"))),
     IF(OR(V290="ALI",V290="AIE"),IF(Z290&gt;=6,IF(X290&gt;=20,"H","A"),IF(Z290&gt;=2,IF(X290&gt;=51,"H",IF(X290&lt;=19,"L","A")),IF(X290&lt;=50,"L","A"))))))),
IF('Dados da OS'!$D$8=Parâmetros!$B$6,"Indicativa",
IF('Dados da OS'!$D$8=Parâmetros!$B$5,"PFS","")))</f>
        <v/>
      </c>
      <c r="AF290" s="57">
        <f>IFERROR(VLOOKUP(W290,'Fatores de Impacto e INMs'!$A$3:$D$32,3,0),1)</f>
        <v>1</v>
      </c>
      <c r="AG290" s="57">
        <f>IFERROR(VLOOKUP(W290,'Fatores de Impacto e INMs'!$A$3:$E$32,5,0),1)</f>
        <v>1</v>
      </c>
      <c r="AH290" s="82" t="str">
        <f xml:space="preserve">
IF(OR('Dados da OS'!$D$8="Selecione o tipo da contagem",ISBLANK('Dados da OS'!$D$8),V290="INM",V290="N/A",ISBLANK(V290),ISBLANK(W290),AG290="VF"),"-",
   IF('Dados da OS'!$D$8=Parâmetros!$B$3,
      IF(OR(ISBLANK(X290),ISBLANK(Z290)),"-",
         IF(AE290="L","Baixa",IF(AE290="A","Média",IF(AE290="H","Alta","-")))),
      IF('Dados da OS'!$D$8=Parâmetros!$B$4,
         IF(OR(V290="ALI",V290="AIE"),"Baixa",IF(OR(V290="EE",V290="SE",V290="CE"),"Média","-")),
         IF(OR('Dados da OS'!$D$8=Parâmetros!$B$5,'Dados da OS'!$D$8=Parâmetros!$B$6),"-"))))</f>
        <v>-</v>
      </c>
      <c r="AI290" s="83" t="str">
        <f xml:space="preserve">
IF(OR(ISBLANK(V290),ISBLANK(U290),ISBLANK(W290),V290="N/A",ISBLANK('Dados da OS'!$D$8)),"",
   IF(OR('Dados da OS'!$D$8=Parâmetros!$B$3,'Dados da OS'!$D$8=Parâmetros!$B$4),
      IF(OR(AND(V290="INM",AG290&lt;&gt;"VF"),AND(AG290="VF",V290&lt;&gt;"INM")),"",
        IF(AND(V290="INM",AG290="VF"),IF(ISBLANK(AB290),"",AF290*AB290),
        IF('Dados da OS'!$D$8=Parâmetros!$B$4,
           IF(OR(V290="CE",V290="EE"),4,IF(V290="SE",5,IF(V290="ALI",7,IF(V290="AIE",5,"")))),
        IF('Dados da OS'!$D$8=Parâmetros!$B$3,
           IF(OR(ISBLANK(X290),ISBLANK(Z290)),"",
              IF(V290="ALI",IF(AE290="L",7,IF(AE290="A",10,15)),
                 IF(V290="AIE",IF(AE290="L",5,IF(AE290="A",7,10)),
                    IF(V290="SE",IF(AE290="L",4,IF(AE290="A",5,7)),
                       IF(OR(V290="EE",V290="CE"),IF(AE290="L",3,IF(AE290="A",4,6)),""))))))))),
   IF('Dados da OS'!$D$8=Parâmetros!$B$5,
      IF(OR(AND(V290="INM",AG290&lt;&gt;"VF"),AND(AG290="VF",V290&lt;&gt;"INM")),"",
         IF(V290="INM",IF(AG290="VF",AF290*AB290,""),
            IF(V290="PE",4.6,
            IF(V290="AL",7,"")))),
   IF('Dados da OS'!$D$8=Parâmetros!$B$6,
      IF(V290="ALI",35,IF(V290="AIE",15,"")),""))
    )
)</f>
        <v/>
      </c>
      <c r="AJ290" s="82" t="str">
        <f t="shared" si="34"/>
        <v/>
      </c>
      <c r="AK290" s="84"/>
      <c r="AL290" s="85" t="s">
        <v>21</v>
      </c>
      <c r="AM290" s="86"/>
      <c r="AN290" s="85"/>
      <c r="AO290" s="87"/>
      <c r="AP290" s="85"/>
      <c r="AQ290" s="86"/>
      <c r="AR290" s="85"/>
    </row>
    <row r="291" spans="1:44" ht="15.75" customHeight="1">
      <c r="A291" s="54"/>
      <c r="B291" s="100"/>
      <c r="C291" s="55"/>
      <c r="D291" s="55"/>
      <c r="E291" s="56"/>
      <c r="F291" s="55"/>
      <c r="G291" s="56"/>
      <c r="H291" s="55"/>
      <c r="I291" s="64"/>
      <c r="J291" s="57" t="str">
        <f t="shared" si="29"/>
        <v/>
      </c>
      <c r="K291" s="57" t="str">
        <f t="shared" si="30"/>
        <v/>
      </c>
      <c r="L291" s="57" t="str">
        <f xml:space="preserve">
IF(OR('Dados da OS'!$D$8=Parâmetros!$B$3,'Dados da OS'!$D$8=Parâmetros!$B$4),
  IF(OR(ISBLANK(D291),ISBLANK(F291)),
     IF(OR(B291="ALI",B291="AIE"),"L",IF(ISBLANK(B291),"","A")),
     IF(B291="EE",IF(F291&gt;=3,IF(D291&gt;=5,"H","A"),
     IF(F291&gt;=2,IF(D291&gt;=16,"H",IF(D291&lt;=4,"L","A")),IF(D291&lt;=15,"L","A"))),
     IF(OR(B291="SE",B291="CE"),IF(F291&gt;=4,IF(D291&gt;=6,"H","A"),IF(F291&gt;=2,IF(D291&gt;=20,"H",IF(D291&lt;=5,"L","A")),IF(D291&lt;=19,"L","A"))),
     IF(OR(B291="ALI",B291="AIE"),IF(F291&gt;=6,IF(D291&gt;=20,"H","A"),IF(F291&gt;=2,IF(D291&gt;=51,"H",IF(D291&lt;=19,"L","A")),IF(D291&lt;=50,"L","A"))))))),
IF('Dados da OS'!$D$8=Parâmetros!$B$6,"Indicativa",
IF('Dados da OS'!$D$8=Parâmetros!$B$5,"PFS","")))</f>
        <v/>
      </c>
      <c r="M291" s="57">
        <f>IFERROR(VLOOKUP(C291,'Fatores de Impacto e INMs'!$A$3:$D$32,3,0),1)</f>
        <v>1</v>
      </c>
      <c r="N291" s="57">
        <f>IFERROR(VLOOKUP(C291,'Fatores de Impacto e INMs'!$A$3:$E$32,5,0),1)</f>
        <v>1</v>
      </c>
      <c r="O291" s="63" t="str">
        <f xml:space="preserve">
IF(OR('Dados da OS'!$D$8="Selecione o tipo da contagem",ISBLANK('Dados da OS'!$D$8),B291="INM",B291="N/A",ISBLANK(B291),ISBLANK(C291),N291="VF"),"-",
   IF('Dados da OS'!$D$8=Parâmetros!$B$3,
      IF(OR(ISBLANK(D291),ISBLANK(F291)),"-",
         IF(L291="L","Baixa",IF(L291="A","Média",IF(L291="H","Alta","-")))),
      IF('Dados da OS'!$D$8=Parâmetros!$B$4,
         IF(OR(B291="ALI",B291="AIE"),"Baixa",IF(OR(B291="EE",B291="SE",B291="CE"),"Média","-")),
         IF(OR('Dados da OS'!$D$8=Parâmetros!$B$5,'Dados da OS'!$D$8=Parâmetros!$B$6),"-"))))</f>
        <v>-</v>
      </c>
      <c r="P291" s="59" t="str">
        <f xml:space="preserve">
IF(OR(ISBLANK(B291),ISBLANK(C291),B291="N/A",ISBLANK('Dados da OS'!$D$8)),"",
   IF(OR('Dados da OS'!$D$8=Parâmetros!$B$3,'Dados da OS'!$D$8=Parâmetros!$B$4),
      IF(OR(AND(B291="INM",N291&lt;&gt;"VF"),AND(N291="VF",B291&lt;&gt;"INM")),"",
        IF(AND(B291="INM",N291="VF"),IF(ISBLANK(H291),"",M291*H291),
        IF('Dados da OS'!$D$8=Parâmetros!$B$4,
           IF(OR(B291="CE",B291="EE"),4,IF(B291="SE",5,IF(B291="ALI",7,IF(B291="AIE",5,"")))),
        IF('Dados da OS'!$D$8=Parâmetros!$B$3,
           IF(OR(ISBLANK(D291),ISBLANK(F291)),"",
              IF(B291="ALI",IF(L291="L",7,IF(L291="A",10,15)),
                 IF(B291="AIE",IF(L291="L",5,IF(L291="A",7,10)),
                    IF(B291="SE",IF(L291="L",4,IF(L291="A",5,7)),
                       IF(OR(B291="EE",B291="CE"),IF(L291="L",3,IF(L291="A",4,6)),""))))))))),
   IF('Dados da OS'!$D$8=Parâmetros!$B$5,
      IF(OR(AND(B291="INM",N291&lt;&gt;"VF"),AND(N291="VF",B291&lt;&gt;"INM")),"",
         IF(B291="INM",IF(N291="VF",M291*H291,""),
            IF(B291="PE",4.6,
            IF(B291="AL",7,"")))),
   IF('Dados da OS'!$D$8=Parâmetros!$B$6,
      IF(B291="ALI",35,IF(B291="AIE",15,"")),""))
    )
)</f>
        <v/>
      </c>
      <c r="Q291" s="60" t="str">
        <f t="shared" si="31"/>
        <v/>
      </c>
      <c r="R291" s="61"/>
      <c r="S291" s="62"/>
      <c r="T291" s="80" t="s">
        <v>21</v>
      </c>
      <c r="U291" s="81"/>
      <c r="V291" s="99"/>
      <c r="W291" s="55"/>
      <c r="X291" s="55"/>
      <c r="Y291" s="56"/>
      <c r="Z291" s="55"/>
      <c r="AA291" s="56"/>
      <c r="AB291" s="55"/>
      <c r="AC291" s="57" t="str">
        <f t="shared" si="32"/>
        <v/>
      </c>
      <c r="AD291" s="57" t="str">
        <f t="shared" si="33"/>
        <v/>
      </c>
      <c r="AE291" s="57" t="str">
        <f xml:space="preserve">
IF(OR('Dados da OS'!$D$8=Parâmetros!$B$3,'Dados da OS'!$D$8=Parâmetros!$B$4),
  IF(OR(ISBLANK(X291),ISBLANK(Z291)),
     IF(OR(V291="ALI",V291="AIE"),"L",IF(ISBLANK(V291),"","A")),
     IF(V291="EE",IF(Z291&gt;=3,IF(X291&gt;=5,"H","A"),
     IF(Z291&gt;=2,IF(X291&gt;=16,"H",IF(X291&lt;=4,"L","A")),IF(X291&lt;=15,"L","A"))),
     IF(OR(V291="SE",V291="CE"),IF(Z291&gt;=4,IF(X291&gt;=6,"H","A"),IF(Z291&gt;=2,IF(X291&gt;=20,"H",IF(X291&lt;=5,"L","A")),IF(X291&lt;=19,"L","A"))),
     IF(OR(V291="ALI",V291="AIE"),IF(Z291&gt;=6,IF(X291&gt;=20,"H","A"),IF(Z291&gt;=2,IF(X291&gt;=51,"H",IF(X291&lt;=19,"L","A")),IF(X291&lt;=50,"L","A"))))))),
IF('Dados da OS'!$D$8=Parâmetros!$B$6,"Indicativa",
IF('Dados da OS'!$D$8=Parâmetros!$B$5,"PFS","")))</f>
        <v/>
      </c>
      <c r="AF291" s="57">
        <f>IFERROR(VLOOKUP(W291,'Fatores de Impacto e INMs'!$A$3:$D$32,3,0),1)</f>
        <v>1</v>
      </c>
      <c r="AG291" s="57">
        <f>IFERROR(VLOOKUP(W291,'Fatores de Impacto e INMs'!$A$3:$E$32,5,0),1)</f>
        <v>1</v>
      </c>
      <c r="AH291" s="82" t="str">
        <f xml:space="preserve">
IF(OR('Dados da OS'!$D$8="Selecione o tipo da contagem",ISBLANK('Dados da OS'!$D$8),V291="INM",V291="N/A",ISBLANK(V291),ISBLANK(W291),AG291="VF"),"-",
   IF('Dados da OS'!$D$8=Parâmetros!$B$3,
      IF(OR(ISBLANK(X291),ISBLANK(Z291)),"-",
         IF(AE291="L","Baixa",IF(AE291="A","Média",IF(AE291="H","Alta","-")))),
      IF('Dados da OS'!$D$8=Parâmetros!$B$4,
         IF(OR(V291="ALI",V291="AIE"),"Baixa",IF(OR(V291="EE",V291="SE",V291="CE"),"Média","-")),
         IF(OR('Dados da OS'!$D$8=Parâmetros!$B$5,'Dados da OS'!$D$8=Parâmetros!$B$6),"-"))))</f>
        <v>-</v>
      </c>
      <c r="AI291" s="83" t="str">
        <f xml:space="preserve">
IF(OR(ISBLANK(V291),ISBLANK(U291),ISBLANK(W291),V291="N/A",ISBLANK('Dados da OS'!$D$8)),"",
   IF(OR('Dados da OS'!$D$8=Parâmetros!$B$3,'Dados da OS'!$D$8=Parâmetros!$B$4),
      IF(OR(AND(V291="INM",AG291&lt;&gt;"VF"),AND(AG291="VF",V291&lt;&gt;"INM")),"",
        IF(AND(V291="INM",AG291="VF"),IF(ISBLANK(AB291),"",AF291*AB291),
        IF('Dados da OS'!$D$8=Parâmetros!$B$4,
           IF(OR(V291="CE",V291="EE"),4,IF(V291="SE",5,IF(V291="ALI",7,IF(V291="AIE",5,"")))),
        IF('Dados da OS'!$D$8=Parâmetros!$B$3,
           IF(OR(ISBLANK(X291),ISBLANK(Z291)),"",
              IF(V291="ALI",IF(AE291="L",7,IF(AE291="A",10,15)),
                 IF(V291="AIE",IF(AE291="L",5,IF(AE291="A",7,10)),
                    IF(V291="SE",IF(AE291="L",4,IF(AE291="A",5,7)),
                       IF(OR(V291="EE",V291="CE"),IF(AE291="L",3,IF(AE291="A",4,6)),""))))))))),
   IF('Dados da OS'!$D$8=Parâmetros!$B$5,
      IF(OR(AND(V291="INM",AG291&lt;&gt;"VF"),AND(AG291="VF",V291&lt;&gt;"INM")),"",
         IF(V291="INM",IF(AG291="VF",AF291*AB291,""),
            IF(V291="PE",4.6,
            IF(V291="AL",7,"")))),
   IF('Dados da OS'!$D$8=Parâmetros!$B$6,
      IF(V291="ALI",35,IF(V291="AIE",15,"")),""))
    )
)</f>
        <v/>
      </c>
      <c r="AJ291" s="82" t="str">
        <f t="shared" si="34"/>
        <v/>
      </c>
      <c r="AK291" s="84"/>
      <c r="AL291" s="85" t="s">
        <v>21</v>
      </c>
      <c r="AM291" s="86"/>
      <c r="AN291" s="85"/>
      <c r="AO291" s="87"/>
      <c r="AP291" s="85"/>
      <c r="AQ291" s="86"/>
      <c r="AR291" s="85"/>
    </row>
    <row r="292" spans="1:44" ht="15.75" customHeight="1">
      <c r="A292" s="54"/>
      <c r="B292" s="100"/>
      <c r="C292" s="55"/>
      <c r="D292" s="55"/>
      <c r="E292" s="56"/>
      <c r="F292" s="55"/>
      <c r="G292" s="56"/>
      <c r="H292" s="55"/>
      <c r="I292" s="64"/>
      <c r="J292" s="57" t="str">
        <f t="shared" si="29"/>
        <v/>
      </c>
      <c r="K292" s="57" t="str">
        <f t="shared" si="30"/>
        <v/>
      </c>
      <c r="L292" s="57" t="str">
        <f xml:space="preserve">
IF(OR('Dados da OS'!$D$8=Parâmetros!$B$3,'Dados da OS'!$D$8=Parâmetros!$B$4),
  IF(OR(ISBLANK(D292),ISBLANK(F292)),
     IF(OR(B292="ALI",B292="AIE"),"L",IF(ISBLANK(B292),"","A")),
     IF(B292="EE",IF(F292&gt;=3,IF(D292&gt;=5,"H","A"),
     IF(F292&gt;=2,IF(D292&gt;=16,"H",IF(D292&lt;=4,"L","A")),IF(D292&lt;=15,"L","A"))),
     IF(OR(B292="SE",B292="CE"),IF(F292&gt;=4,IF(D292&gt;=6,"H","A"),IF(F292&gt;=2,IF(D292&gt;=20,"H",IF(D292&lt;=5,"L","A")),IF(D292&lt;=19,"L","A"))),
     IF(OR(B292="ALI",B292="AIE"),IF(F292&gt;=6,IF(D292&gt;=20,"H","A"),IF(F292&gt;=2,IF(D292&gt;=51,"H",IF(D292&lt;=19,"L","A")),IF(D292&lt;=50,"L","A"))))))),
IF('Dados da OS'!$D$8=Parâmetros!$B$6,"Indicativa",
IF('Dados da OS'!$D$8=Parâmetros!$B$5,"PFS","")))</f>
        <v/>
      </c>
      <c r="M292" s="57">
        <f>IFERROR(VLOOKUP(C292,'Fatores de Impacto e INMs'!$A$3:$D$32,3,0),1)</f>
        <v>1</v>
      </c>
      <c r="N292" s="57">
        <f>IFERROR(VLOOKUP(C292,'Fatores de Impacto e INMs'!$A$3:$E$32,5,0),1)</f>
        <v>1</v>
      </c>
      <c r="O292" s="63" t="str">
        <f xml:space="preserve">
IF(OR('Dados da OS'!$D$8="Selecione o tipo da contagem",ISBLANK('Dados da OS'!$D$8),B292="INM",B292="N/A",ISBLANK(B292),ISBLANK(C292),N292="VF"),"-",
   IF('Dados da OS'!$D$8=Parâmetros!$B$3,
      IF(OR(ISBLANK(D292),ISBLANK(F292)),"-",
         IF(L292="L","Baixa",IF(L292="A","Média",IF(L292="H","Alta","-")))),
      IF('Dados da OS'!$D$8=Parâmetros!$B$4,
         IF(OR(B292="ALI",B292="AIE"),"Baixa",IF(OR(B292="EE",B292="SE",B292="CE"),"Média","-")),
         IF(OR('Dados da OS'!$D$8=Parâmetros!$B$5,'Dados da OS'!$D$8=Parâmetros!$B$6),"-"))))</f>
        <v>-</v>
      </c>
      <c r="P292" s="59" t="str">
        <f xml:space="preserve">
IF(OR(ISBLANK(B292),ISBLANK(C292),B292="N/A",ISBLANK('Dados da OS'!$D$8)),"",
   IF(OR('Dados da OS'!$D$8=Parâmetros!$B$3,'Dados da OS'!$D$8=Parâmetros!$B$4),
      IF(OR(AND(B292="INM",N292&lt;&gt;"VF"),AND(N292="VF",B292&lt;&gt;"INM")),"",
        IF(AND(B292="INM",N292="VF"),IF(ISBLANK(H292),"",M292*H292),
        IF('Dados da OS'!$D$8=Parâmetros!$B$4,
           IF(OR(B292="CE",B292="EE"),4,IF(B292="SE",5,IF(B292="ALI",7,IF(B292="AIE",5,"")))),
        IF('Dados da OS'!$D$8=Parâmetros!$B$3,
           IF(OR(ISBLANK(D292),ISBLANK(F292)),"",
              IF(B292="ALI",IF(L292="L",7,IF(L292="A",10,15)),
                 IF(B292="AIE",IF(L292="L",5,IF(L292="A",7,10)),
                    IF(B292="SE",IF(L292="L",4,IF(L292="A",5,7)),
                       IF(OR(B292="EE",B292="CE"),IF(L292="L",3,IF(L292="A",4,6)),""))))))))),
   IF('Dados da OS'!$D$8=Parâmetros!$B$5,
      IF(OR(AND(B292="INM",N292&lt;&gt;"VF"),AND(N292="VF",B292&lt;&gt;"INM")),"",
         IF(B292="INM",IF(N292="VF",M292*H292,""),
            IF(B292="PE",4.6,
            IF(B292="AL",7,"")))),
   IF('Dados da OS'!$D$8=Parâmetros!$B$6,
      IF(B292="ALI",35,IF(B292="AIE",15,"")),""))
    )
)</f>
        <v/>
      </c>
      <c r="Q292" s="60" t="str">
        <f t="shared" si="31"/>
        <v/>
      </c>
      <c r="R292" s="61"/>
      <c r="S292" s="62"/>
      <c r="T292" s="80" t="s">
        <v>21</v>
      </c>
      <c r="U292" s="81"/>
      <c r="V292" s="99"/>
      <c r="W292" s="55"/>
      <c r="X292" s="55"/>
      <c r="Y292" s="56"/>
      <c r="Z292" s="55"/>
      <c r="AA292" s="56"/>
      <c r="AB292" s="55"/>
      <c r="AC292" s="57" t="str">
        <f t="shared" si="32"/>
        <v/>
      </c>
      <c r="AD292" s="57" t="str">
        <f t="shared" si="33"/>
        <v/>
      </c>
      <c r="AE292" s="57" t="str">
        <f xml:space="preserve">
IF(OR('Dados da OS'!$D$8=Parâmetros!$B$3,'Dados da OS'!$D$8=Parâmetros!$B$4),
  IF(OR(ISBLANK(X292),ISBLANK(Z292)),
     IF(OR(V292="ALI",V292="AIE"),"L",IF(ISBLANK(V292),"","A")),
     IF(V292="EE",IF(Z292&gt;=3,IF(X292&gt;=5,"H","A"),
     IF(Z292&gt;=2,IF(X292&gt;=16,"H",IF(X292&lt;=4,"L","A")),IF(X292&lt;=15,"L","A"))),
     IF(OR(V292="SE",V292="CE"),IF(Z292&gt;=4,IF(X292&gt;=6,"H","A"),IF(Z292&gt;=2,IF(X292&gt;=20,"H",IF(X292&lt;=5,"L","A")),IF(X292&lt;=19,"L","A"))),
     IF(OR(V292="ALI",V292="AIE"),IF(Z292&gt;=6,IF(X292&gt;=20,"H","A"),IF(Z292&gt;=2,IF(X292&gt;=51,"H",IF(X292&lt;=19,"L","A")),IF(X292&lt;=50,"L","A"))))))),
IF('Dados da OS'!$D$8=Parâmetros!$B$6,"Indicativa",
IF('Dados da OS'!$D$8=Parâmetros!$B$5,"PFS","")))</f>
        <v/>
      </c>
      <c r="AF292" s="57">
        <f>IFERROR(VLOOKUP(W292,'Fatores de Impacto e INMs'!$A$3:$D$32,3,0),1)</f>
        <v>1</v>
      </c>
      <c r="AG292" s="57">
        <f>IFERROR(VLOOKUP(W292,'Fatores de Impacto e INMs'!$A$3:$E$32,5,0),1)</f>
        <v>1</v>
      </c>
      <c r="AH292" s="82" t="str">
        <f xml:space="preserve">
IF(OR('Dados da OS'!$D$8="Selecione o tipo da contagem",ISBLANK('Dados da OS'!$D$8),V292="INM",V292="N/A",ISBLANK(V292),ISBLANK(W292),AG292="VF"),"-",
   IF('Dados da OS'!$D$8=Parâmetros!$B$3,
      IF(OR(ISBLANK(X292),ISBLANK(Z292)),"-",
         IF(AE292="L","Baixa",IF(AE292="A","Média",IF(AE292="H","Alta","-")))),
      IF('Dados da OS'!$D$8=Parâmetros!$B$4,
         IF(OR(V292="ALI",V292="AIE"),"Baixa",IF(OR(V292="EE",V292="SE",V292="CE"),"Média","-")),
         IF(OR('Dados da OS'!$D$8=Parâmetros!$B$5,'Dados da OS'!$D$8=Parâmetros!$B$6),"-"))))</f>
        <v>-</v>
      </c>
      <c r="AI292" s="83" t="str">
        <f xml:space="preserve">
IF(OR(ISBLANK(V292),ISBLANK(U292),ISBLANK(W292),V292="N/A",ISBLANK('Dados da OS'!$D$8)),"",
   IF(OR('Dados da OS'!$D$8=Parâmetros!$B$3,'Dados da OS'!$D$8=Parâmetros!$B$4),
      IF(OR(AND(V292="INM",AG292&lt;&gt;"VF"),AND(AG292="VF",V292&lt;&gt;"INM")),"",
        IF(AND(V292="INM",AG292="VF"),IF(ISBLANK(AB292),"",AF292*AB292),
        IF('Dados da OS'!$D$8=Parâmetros!$B$4,
           IF(OR(V292="CE",V292="EE"),4,IF(V292="SE",5,IF(V292="ALI",7,IF(V292="AIE",5,"")))),
        IF('Dados da OS'!$D$8=Parâmetros!$B$3,
           IF(OR(ISBLANK(X292),ISBLANK(Z292)),"",
              IF(V292="ALI",IF(AE292="L",7,IF(AE292="A",10,15)),
                 IF(V292="AIE",IF(AE292="L",5,IF(AE292="A",7,10)),
                    IF(V292="SE",IF(AE292="L",4,IF(AE292="A",5,7)),
                       IF(OR(V292="EE",V292="CE"),IF(AE292="L",3,IF(AE292="A",4,6)),""))))))))),
   IF('Dados da OS'!$D$8=Parâmetros!$B$5,
      IF(OR(AND(V292="INM",AG292&lt;&gt;"VF"),AND(AG292="VF",V292&lt;&gt;"INM")),"",
         IF(V292="INM",IF(AG292="VF",AF292*AB292,""),
            IF(V292="PE",4.6,
            IF(V292="AL",7,"")))),
   IF('Dados da OS'!$D$8=Parâmetros!$B$6,
      IF(V292="ALI",35,IF(V292="AIE",15,"")),""))
    )
)</f>
        <v/>
      </c>
      <c r="AJ292" s="82" t="str">
        <f t="shared" si="34"/>
        <v/>
      </c>
      <c r="AK292" s="84"/>
      <c r="AL292" s="85" t="s">
        <v>21</v>
      </c>
      <c r="AM292" s="86"/>
      <c r="AN292" s="85"/>
      <c r="AO292" s="87"/>
      <c r="AP292" s="85"/>
      <c r="AQ292" s="86"/>
      <c r="AR292" s="85"/>
    </row>
    <row r="293" spans="1:44" ht="15.75" customHeight="1">
      <c r="A293" s="54"/>
      <c r="B293" s="100"/>
      <c r="C293" s="55"/>
      <c r="D293" s="55"/>
      <c r="E293" s="56"/>
      <c r="F293" s="55"/>
      <c r="G293" s="56"/>
      <c r="H293" s="55"/>
      <c r="I293" s="64"/>
      <c r="J293" s="57" t="str">
        <f t="shared" si="29"/>
        <v/>
      </c>
      <c r="K293" s="57" t="str">
        <f t="shared" si="30"/>
        <v/>
      </c>
      <c r="L293" s="57" t="str">
        <f xml:space="preserve">
IF(OR('Dados da OS'!$D$8=Parâmetros!$B$3,'Dados da OS'!$D$8=Parâmetros!$B$4),
  IF(OR(ISBLANK(D293),ISBLANK(F293)),
     IF(OR(B293="ALI",B293="AIE"),"L",IF(ISBLANK(B293),"","A")),
     IF(B293="EE",IF(F293&gt;=3,IF(D293&gt;=5,"H","A"),
     IF(F293&gt;=2,IF(D293&gt;=16,"H",IF(D293&lt;=4,"L","A")),IF(D293&lt;=15,"L","A"))),
     IF(OR(B293="SE",B293="CE"),IF(F293&gt;=4,IF(D293&gt;=6,"H","A"),IF(F293&gt;=2,IF(D293&gt;=20,"H",IF(D293&lt;=5,"L","A")),IF(D293&lt;=19,"L","A"))),
     IF(OR(B293="ALI",B293="AIE"),IF(F293&gt;=6,IF(D293&gt;=20,"H","A"),IF(F293&gt;=2,IF(D293&gt;=51,"H",IF(D293&lt;=19,"L","A")),IF(D293&lt;=50,"L","A"))))))),
IF('Dados da OS'!$D$8=Parâmetros!$B$6,"Indicativa",
IF('Dados da OS'!$D$8=Parâmetros!$B$5,"PFS","")))</f>
        <v/>
      </c>
      <c r="M293" s="57">
        <f>IFERROR(VLOOKUP(C293,'Fatores de Impacto e INMs'!$A$3:$D$32,3,0),1)</f>
        <v>1</v>
      </c>
      <c r="N293" s="57">
        <f>IFERROR(VLOOKUP(C293,'Fatores de Impacto e INMs'!$A$3:$E$32,5,0),1)</f>
        <v>1</v>
      </c>
      <c r="O293" s="63" t="str">
        <f xml:space="preserve">
IF(OR('Dados da OS'!$D$8="Selecione o tipo da contagem",ISBLANK('Dados da OS'!$D$8),B293="INM",B293="N/A",ISBLANK(B293),ISBLANK(C293),N293="VF"),"-",
   IF('Dados da OS'!$D$8=Parâmetros!$B$3,
      IF(OR(ISBLANK(D293),ISBLANK(F293)),"-",
         IF(L293="L","Baixa",IF(L293="A","Média",IF(L293="H","Alta","-")))),
      IF('Dados da OS'!$D$8=Parâmetros!$B$4,
         IF(OR(B293="ALI",B293="AIE"),"Baixa",IF(OR(B293="EE",B293="SE",B293="CE"),"Média","-")),
         IF(OR('Dados da OS'!$D$8=Parâmetros!$B$5,'Dados da OS'!$D$8=Parâmetros!$B$6),"-"))))</f>
        <v>-</v>
      </c>
      <c r="P293" s="59" t="str">
        <f xml:space="preserve">
IF(OR(ISBLANK(B293),ISBLANK(C293),B293="N/A",ISBLANK('Dados da OS'!$D$8)),"",
   IF(OR('Dados da OS'!$D$8=Parâmetros!$B$3,'Dados da OS'!$D$8=Parâmetros!$B$4),
      IF(OR(AND(B293="INM",N293&lt;&gt;"VF"),AND(N293="VF",B293&lt;&gt;"INM")),"",
        IF(AND(B293="INM",N293="VF"),IF(ISBLANK(H293),"",M293*H293),
        IF('Dados da OS'!$D$8=Parâmetros!$B$4,
           IF(OR(B293="CE",B293="EE"),4,IF(B293="SE",5,IF(B293="ALI",7,IF(B293="AIE",5,"")))),
        IF('Dados da OS'!$D$8=Parâmetros!$B$3,
           IF(OR(ISBLANK(D293),ISBLANK(F293)),"",
              IF(B293="ALI",IF(L293="L",7,IF(L293="A",10,15)),
                 IF(B293="AIE",IF(L293="L",5,IF(L293="A",7,10)),
                    IF(B293="SE",IF(L293="L",4,IF(L293="A",5,7)),
                       IF(OR(B293="EE",B293="CE"),IF(L293="L",3,IF(L293="A",4,6)),""))))))))),
   IF('Dados da OS'!$D$8=Parâmetros!$B$5,
      IF(OR(AND(B293="INM",N293&lt;&gt;"VF"),AND(N293="VF",B293&lt;&gt;"INM")),"",
         IF(B293="INM",IF(N293="VF",M293*H293,""),
            IF(B293="PE",4.6,
            IF(B293="AL",7,"")))),
   IF('Dados da OS'!$D$8=Parâmetros!$B$6,
      IF(B293="ALI",35,IF(B293="AIE",15,"")),""))
    )
)</f>
        <v/>
      </c>
      <c r="Q293" s="60" t="str">
        <f t="shared" si="31"/>
        <v/>
      </c>
      <c r="R293" s="61"/>
      <c r="S293" s="62"/>
      <c r="T293" s="80" t="s">
        <v>21</v>
      </c>
      <c r="U293" s="81"/>
      <c r="V293" s="99"/>
      <c r="W293" s="55"/>
      <c r="X293" s="55"/>
      <c r="Y293" s="56"/>
      <c r="Z293" s="55"/>
      <c r="AA293" s="56"/>
      <c r="AB293" s="55"/>
      <c r="AC293" s="57" t="str">
        <f t="shared" si="32"/>
        <v/>
      </c>
      <c r="AD293" s="57" t="str">
        <f t="shared" si="33"/>
        <v/>
      </c>
      <c r="AE293" s="57" t="str">
        <f xml:space="preserve">
IF(OR('Dados da OS'!$D$8=Parâmetros!$B$3,'Dados da OS'!$D$8=Parâmetros!$B$4),
  IF(OR(ISBLANK(X293),ISBLANK(Z293)),
     IF(OR(V293="ALI",V293="AIE"),"L",IF(ISBLANK(V293),"","A")),
     IF(V293="EE",IF(Z293&gt;=3,IF(X293&gt;=5,"H","A"),
     IF(Z293&gt;=2,IF(X293&gt;=16,"H",IF(X293&lt;=4,"L","A")),IF(X293&lt;=15,"L","A"))),
     IF(OR(V293="SE",V293="CE"),IF(Z293&gt;=4,IF(X293&gt;=6,"H","A"),IF(Z293&gt;=2,IF(X293&gt;=20,"H",IF(X293&lt;=5,"L","A")),IF(X293&lt;=19,"L","A"))),
     IF(OR(V293="ALI",V293="AIE"),IF(Z293&gt;=6,IF(X293&gt;=20,"H","A"),IF(Z293&gt;=2,IF(X293&gt;=51,"H",IF(X293&lt;=19,"L","A")),IF(X293&lt;=50,"L","A"))))))),
IF('Dados da OS'!$D$8=Parâmetros!$B$6,"Indicativa",
IF('Dados da OS'!$D$8=Parâmetros!$B$5,"PFS","")))</f>
        <v/>
      </c>
      <c r="AF293" s="57">
        <f>IFERROR(VLOOKUP(W293,'Fatores de Impacto e INMs'!$A$3:$D$32,3,0),1)</f>
        <v>1</v>
      </c>
      <c r="AG293" s="57">
        <f>IFERROR(VLOOKUP(W293,'Fatores de Impacto e INMs'!$A$3:$E$32,5,0),1)</f>
        <v>1</v>
      </c>
      <c r="AH293" s="82" t="str">
        <f xml:space="preserve">
IF(OR('Dados da OS'!$D$8="Selecione o tipo da contagem",ISBLANK('Dados da OS'!$D$8),V293="INM",V293="N/A",ISBLANK(V293),ISBLANK(W293),AG293="VF"),"-",
   IF('Dados da OS'!$D$8=Parâmetros!$B$3,
      IF(OR(ISBLANK(X293),ISBLANK(Z293)),"-",
         IF(AE293="L","Baixa",IF(AE293="A","Média",IF(AE293="H","Alta","-")))),
      IF('Dados da OS'!$D$8=Parâmetros!$B$4,
         IF(OR(V293="ALI",V293="AIE"),"Baixa",IF(OR(V293="EE",V293="SE",V293="CE"),"Média","-")),
         IF(OR('Dados da OS'!$D$8=Parâmetros!$B$5,'Dados da OS'!$D$8=Parâmetros!$B$6),"-"))))</f>
        <v>-</v>
      </c>
      <c r="AI293" s="83" t="str">
        <f xml:space="preserve">
IF(OR(ISBLANK(V293),ISBLANK(U293),ISBLANK(W293),V293="N/A",ISBLANK('Dados da OS'!$D$8)),"",
   IF(OR('Dados da OS'!$D$8=Parâmetros!$B$3,'Dados da OS'!$D$8=Parâmetros!$B$4),
      IF(OR(AND(V293="INM",AG293&lt;&gt;"VF"),AND(AG293="VF",V293&lt;&gt;"INM")),"",
        IF(AND(V293="INM",AG293="VF"),IF(ISBLANK(AB293),"",AF293*AB293),
        IF('Dados da OS'!$D$8=Parâmetros!$B$4,
           IF(OR(V293="CE",V293="EE"),4,IF(V293="SE",5,IF(V293="ALI",7,IF(V293="AIE",5,"")))),
        IF('Dados da OS'!$D$8=Parâmetros!$B$3,
           IF(OR(ISBLANK(X293),ISBLANK(Z293)),"",
              IF(V293="ALI",IF(AE293="L",7,IF(AE293="A",10,15)),
                 IF(V293="AIE",IF(AE293="L",5,IF(AE293="A",7,10)),
                    IF(V293="SE",IF(AE293="L",4,IF(AE293="A",5,7)),
                       IF(OR(V293="EE",V293="CE"),IF(AE293="L",3,IF(AE293="A",4,6)),""))))))))),
   IF('Dados da OS'!$D$8=Parâmetros!$B$5,
      IF(OR(AND(V293="INM",AG293&lt;&gt;"VF"),AND(AG293="VF",V293&lt;&gt;"INM")),"",
         IF(V293="INM",IF(AG293="VF",AF293*AB293,""),
            IF(V293="PE",4.6,
            IF(V293="AL",7,"")))),
   IF('Dados da OS'!$D$8=Parâmetros!$B$6,
      IF(V293="ALI",35,IF(V293="AIE",15,"")),""))
    )
)</f>
        <v/>
      </c>
      <c r="AJ293" s="82" t="str">
        <f t="shared" si="34"/>
        <v/>
      </c>
      <c r="AK293" s="84"/>
      <c r="AL293" s="85" t="s">
        <v>21</v>
      </c>
      <c r="AM293" s="86"/>
      <c r="AN293" s="85"/>
      <c r="AO293" s="87"/>
      <c r="AP293" s="85"/>
      <c r="AQ293" s="86"/>
      <c r="AR293" s="85"/>
    </row>
    <row r="294" spans="1:44" ht="15.75" customHeight="1">
      <c r="A294" s="54"/>
      <c r="B294" s="100"/>
      <c r="C294" s="55"/>
      <c r="D294" s="55"/>
      <c r="E294" s="56"/>
      <c r="F294" s="55"/>
      <c r="G294" s="56"/>
      <c r="H294" s="55"/>
      <c r="I294" s="64"/>
      <c r="J294" s="57" t="str">
        <f t="shared" si="29"/>
        <v/>
      </c>
      <c r="K294" s="57" t="str">
        <f t="shared" si="30"/>
        <v/>
      </c>
      <c r="L294" s="57" t="str">
        <f xml:space="preserve">
IF(OR('Dados da OS'!$D$8=Parâmetros!$B$3,'Dados da OS'!$D$8=Parâmetros!$B$4),
  IF(OR(ISBLANK(D294),ISBLANK(F294)),
     IF(OR(B294="ALI",B294="AIE"),"L",IF(ISBLANK(B294),"","A")),
     IF(B294="EE",IF(F294&gt;=3,IF(D294&gt;=5,"H","A"),
     IF(F294&gt;=2,IF(D294&gt;=16,"H",IF(D294&lt;=4,"L","A")),IF(D294&lt;=15,"L","A"))),
     IF(OR(B294="SE",B294="CE"),IF(F294&gt;=4,IF(D294&gt;=6,"H","A"),IF(F294&gt;=2,IF(D294&gt;=20,"H",IF(D294&lt;=5,"L","A")),IF(D294&lt;=19,"L","A"))),
     IF(OR(B294="ALI",B294="AIE"),IF(F294&gt;=6,IF(D294&gt;=20,"H","A"),IF(F294&gt;=2,IF(D294&gt;=51,"H",IF(D294&lt;=19,"L","A")),IF(D294&lt;=50,"L","A"))))))),
IF('Dados da OS'!$D$8=Parâmetros!$B$6,"Indicativa",
IF('Dados da OS'!$D$8=Parâmetros!$B$5,"PFS","")))</f>
        <v/>
      </c>
      <c r="M294" s="57">
        <f>IFERROR(VLOOKUP(C294,'Fatores de Impacto e INMs'!$A$3:$D$32,3,0),1)</f>
        <v>1</v>
      </c>
      <c r="N294" s="57">
        <f>IFERROR(VLOOKUP(C294,'Fatores de Impacto e INMs'!$A$3:$E$32,5,0),1)</f>
        <v>1</v>
      </c>
      <c r="O294" s="63" t="str">
        <f xml:space="preserve">
IF(OR('Dados da OS'!$D$8="Selecione o tipo da contagem",ISBLANK('Dados da OS'!$D$8),B294="INM",B294="N/A",ISBLANK(B294),ISBLANK(C294),N294="VF"),"-",
   IF('Dados da OS'!$D$8=Parâmetros!$B$3,
      IF(OR(ISBLANK(D294),ISBLANK(F294)),"-",
         IF(L294="L","Baixa",IF(L294="A","Média",IF(L294="H","Alta","-")))),
      IF('Dados da OS'!$D$8=Parâmetros!$B$4,
         IF(OR(B294="ALI",B294="AIE"),"Baixa",IF(OR(B294="EE",B294="SE",B294="CE"),"Média","-")),
         IF(OR('Dados da OS'!$D$8=Parâmetros!$B$5,'Dados da OS'!$D$8=Parâmetros!$B$6),"-"))))</f>
        <v>-</v>
      </c>
      <c r="P294" s="59" t="str">
        <f xml:space="preserve">
IF(OR(ISBLANK(B294),ISBLANK(C294),B294="N/A",ISBLANK('Dados da OS'!$D$8)),"",
   IF(OR('Dados da OS'!$D$8=Parâmetros!$B$3,'Dados da OS'!$D$8=Parâmetros!$B$4),
      IF(OR(AND(B294="INM",N294&lt;&gt;"VF"),AND(N294="VF",B294&lt;&gt;"INM")),"",
        IF(AND(B294="INM",N294="VF"),IF(ISBLANK(H294),"",M294*H294),
        IF('Dados da OS'!$D$8=Parâmetros!$B$4,
           IF(OR(B294="CE",B294="EE"),4,IF(B294="SE",5,IF(B294="ALI",7,IF(B294="AIE",5,"")))),
        IF('Dados da OS'!$D$8=Parâmetros!$B$3,
           IF(OR(ISBLANK(D294),ISBLANK(F294)),"",
              IF(B294="ALI",IF(L294="L",7,IF(L294="A",10,15)),
                 IF(B294="AIE",IF(L294="L",5,IF(L294="A",7,10)),
                    IF(B294="SE",IF(L294="L",4,IF(L294="A",5,7)),
                       IF(OR(B294="EE",B294="CE"),IF(L294="L",3,IF(L294="A",4,6)),""))))))))),
   IF('Dados da OS'!$D$8=Parâmetros!$B$5,
      IF(OR(AND(B294="INM",N294&lt;&gt;"VF"),AND(N294="VF",B294&lt;&gt;"INM")),"",
         IF(B294="INM",IF(N294="VF",M294*H294,""),
            IF(B294="PE",4.6,
            IF(B294="AL",7,"")))),
   IF('Dados da OS'!$D$8=Parâmetros!$B$6,
      IF(B294="ALI",35,IF(B294="AIE",15,"")),""))
    )
)</f>
        <v/>
      </c>
      <c r="Q294" s="60" t="str">
        <f t="shared" si="31"/>
        <v/>
      </c>
      <c r="R294" s="61"/>
      <c r="S294" s="62"/>
      <c r="T294" s="80" t="s">
        <v>21</v>
      </c>
      <c r="U294" s="81"/>
      <c r="V294" s="99"/>
      <c r="W294" s="55"/>
      <c r="X294" s="55"/>
      <c r="Y294" s="56"/>
      <c r="Z294" s="55"/>
      <c r="AA294" s="56"/>
      <c r="AB294" s="55"/>
      <c r="AC294" s="57" t="str">
        <f t="shared" si="32"/>
        <v/>
      </c>
      <c r="AD294" s="57" t="str">
        <f t="shared" si="33"/>
        <v/>
      </c>
      <c r="AE294" s="57" t="str">
        <f xml:space="preserve">
IF(OR('Dados da OS'!$D$8=Parâmetros!$B$3,'Dados da OS'!$D$8=Parâmetros!$B$4),
  IF(OR(ISBLANK(X294),ISBLANK(Z294)),
     IF(OR(V294="ALI",V294="AIE"),"L",IF(ISBLANK(V294),"","A")),
     IF(V294="EE",IF(Z294&gt;=3,IF(X294&gt;=5,"H","A"),
     IF(Z294&gt;=2,IF(X294&gt;=16,"H",IF(X294&lt;=4,"L","A")),IF(X294&lt;=15,"L","A"))),
     IF(OR(V294="SE",V294="CE"),IF(Z294&gt;=4,IF(X294&gt;=6,"H","A"),IF(Z294&gt;=2,IF(X294&gt;=20,"H",IF(X294&lt;=5,"L","A")),IF(X294&lt;=19,"L","A"))),
     IF(OR(V294="ALI",V294="AIE"),IF(Z294&gt;=6,IF(X294&gt;=20,"H","A"),IF(Z294&gt;=2,IF(X294&gt;=51,"H",IF(X294&lt;=19,"L","A")),IF(X294&lt;=50,"L","A"))))))),
IF('Dados da OS'!$D$8=Parâmetros!$B$6,"Indicativa",
IF('Dados da OS'!$D$8=Parâmetros!$B$5,"PFS","")))</f>
        <v/>
      </c>
      <c r="AF294" s="57">
        <f>IFERROR(VLOOKUP(W294,'Fatores de Impacto e INMs'!$A$3:$D$32,3,0),1)</f>
        <v>1</v>
      </c>
      <c r="AG294" s="57">
        <f>IFERROR(VLOOKUP(W294,'Fatores de Impacto e INMs'!$A$3:$E$32,5,0),1)</f>
        <v>1</v>
      </c>
      <c r="AH294" s="82" t="str">
        <f xml:space="preserve">
IF(OR('Dados da OS'!$D$8="Selecione o tipo da contagem",ISBLANK('Dados da OS'!$D$8),V294="INM",V294="N/A",ISBLANK(V294),ISBLANK(W294),AG294="VF"),"-",
   IF('Dados da OS'!$D$8=Parâmetros!$B$3,
      IF(OR(ISBLANK(X294),ISBLANK(Z294)),"-",
         IF(AE294="L","Baixa",IF(AE294="A","Média",IF(AE294="H","Alta","-")))),
      IF('Dados da OS'!$D$8=Parâmetros!$B$4,
         IF(OR(V294="ALI",V294="AIE"),"Baixa",IF(OR(V294="EE",V294="SE",V294="CE"),"Média","-")),
         IF(OR('Dados da OS'!$D$8=Parâmetros!$B$5,'Dados da OS'!$D$8=Parâmetros!$B$6),"-"))))</f>
        <v>-</v>
      </c>
      <c r="AI294" s="83" t="str">
        <f xml:space="preserve">
IF(OR(ISBLANK(V294),ISBLANK(U294),ISBLANK(W294),V294="N/A",ISBLANK('Dados da OS'!$D$8)),"",
   IF(OR('Dados da OS'!$D$8=Parâmetros!$B$3,'Dados da OS'!$D$8=Parâmetros!$B$4),
      IF(OR(AND(V294="INM",AG294&lt;&gt;"VF"),AND(AG294="VF",V294&lt;&gt;"INM")),"",
        IF(AND(V294="INM",AG294="VF"),IF(ISBLANK(AB294),"",AF294*AB294),
        IF('Dados da OS'!$D$8=Parâmetros!$B$4,
           IF(OR(V294="CE",V294="EE"),4,IF(V294="SE",5,IF(V294="ALI",7,IF(V294="AIE",5,"")))),
        IF('Dados da OS'!$D$8=Parâmetros!$B$3,
           IF(OR(ISBLANK(X294),ISBLANK(Z294)),"",
              IF(V294="ALI",IF(AE294="L",7,IF(AE294="A",10,15)),
                 IF(V294="AIE",IF(AE294="L",5,IF(AE294="A",7,10)),
                    IF(V294="SE",IF(AE294="L",4,IF(AE294="A",5,7)),
                       IF(OR(V294="EE",V294="CE"),IF(AE294="L",3,IF(AE294="A",4,6)),""))))))))),
   IF('Dados da OS'!$D$8=Parâmetros!$B$5,
      IF(OR(AND(V294="INM",AG294&lt;&gt;"VF"),AND(AG294="VF",V294&lt;&gt;"INM")),"",
         IF(V294="INM",IF(AG294="VF",AF294*AB294,""),
            IF(V294="PE",4.6,
            IF(V294="AL",7,"")))),
   IF('Dados da OS'!$D$8=Parâmetros!$B$6,
      IF(V294="ALI",35,IF(V294="AIE",15,"")),""))
    )
)</f>
        <v/>
      </c>
      <c r="AJ294" s="82" t="str">
        <f t="shared" si="34"/>
        <v/>
      </c>
      <c r="AK294" s="84"/>
      <c r="AL294" s="85" t="s">
        <v>21</v>
      </c>
      <c r="AM294" s="86"/>
      <c r="AN294" s="85"/>
      <c r="AO294" s="87"/>
      <c r="AP294" s="85"/>
      <c r="AQ294" s="86"/>
      <c r="AR294" s="85"/>
    </row>
    <row r="295" spans="1:44" ht="15.75" customHeight="1">
      <c r="A295" s="54"/>
      <c r="B295" s="100"/>
      <c r="C295" s="55"/>
      <c r="D295" s="55"/>
      <c r="E295" s="56"/>
      <c r="F295" s="55"/>
      <c r="G295" s="56"/>
      <c r="H295" s="55"/>
      <c r="I295" s="64"/>
      <c r="J295" s="57" t="str">
        <f t="shared" si="29"/>
        <v/>
      </c>
      <c r="K295" s="57" t="str">
        <f t="shared" si="30"/>
        <v/>
      </c>
      <c r="L295" s="57" t="str">
        <f xml:space="preserve">
IF(OR('Dados da OS'!$D$8=Parâmetros!$B$3,'Dados da OS'!$D$8=Parâmetros!$B$4),
  IF(OR(ISBLANK(D295),ISBLANK(F295)),
     IF(OR(B295="ALI",B295="AIE"),"L",IF(ISBLANK(B295),"","A")),
     IF(B295="EE",IF(F295&gt;=3,IF(D295&gt;=5,"H","A"),
     IF(F295&gt;=2,IF(D295&gt;=16,"H",IF(D295&lt;=4,"L","A")),IF(D295&lt;=15,"L","A"))),
     IF(OR(B295="SE",B295="CE"),IF(F295&gt;=4,IF(D295&gt;=6,"H","A"),IF(F295&gt;=2,IF(D295&gt;=20,"H",IF(D295&lt;=5,"L","A")),IF(D295&lt;=19,"L","A"))),
     IF(OR(B295="ALI",B295="AIE"),IF(F295&gt;=6,IF(D295&gt;=20,"H","A"),IF(F295&gt;=2,IF(D295&gt;=51,"H",IF(D295&lt;=19,"L","A")),IF(D295&lt;=50,"L","A"))))))),
IF('Dados da OS'!$D$8=Parâmetros!$B$6,"Indicativa",
IF('Dados da OS'!$D$8=Parâmetros!$B$5,"PFS","")))</f>
        <v/>
      </c>
      <c r="M295" s="57">
        <f>IFERROR(VLOOKUP(C295,'Fatores de Impacto e INMs'!$A$3:$D$32,3,0),1)</f>
        <v>1</v>
      </c>
      <c r="N295" s="57">
        <f>IFERROR(VLOOKUP(C295,'Fatores de Impacto e INMs'!$A$3:$E$32,5,0),1)</f>
        <v>1</v>
      </c>
      <c r="O295" s="63" t="str">
        <f xml:space="preserve">
IF(OR('Dados da OS'!$D$8="Selecione o tipo da contagem",ISBLANK('Dados da OS'!$D$8),B295="INM",B295="N/A",ISBLANK(B295),ISBLANK(C295),N295="VF"),"-",
   IF('Dados da OS'!$D$8=Parâmetros!$B$3,
      IF(OR(ISBLANK(D295),ISBLANK(F295)),"-",
         IF(L295="L","Baixa",IF(L295="A","Média",IF(L295="H","Alta","-")))),
      IF('Dados da OS'!$D$8=Parâmetros!$B$4,
         IF(OR(B295="ALI",B295="AIE"),"Baixa",IF(OR(B295="EE",B295="SE",B295="CE"),"Média","-")),
         IF(OR('Dados da OS'!$D$8=Parâmetros!$B$5,'Dados da OS'!$D$8=Parâmetros!$B$6),"-"))))</f>
        <v>-</v>
      </c>
      <c r="P295" s="59" t="str">
        <f xml:space="preserve">
IF(OR(ISBLANK(B295),ISBLANK(C295),B295="N/A",ISBLANK('Dados da OS'!$D$8)),"",
   IF(OR('Dados da OS'!$D$8=Parâmetros!$B$3,'Dados da OS'!$D$8=Parâmetros!$B$4),
      IF(OR(AND(B295="INM",N295&lt;&gt;"VF"),AND(N295="VF",B295&lt;&gt;"INM")),"",
        IF(AND(B295="INM",N295="VF"),IF(ISBLANK(H295),"",M295*H295),
        IF('Dados da OS'!$D$8=Parâmetros!$B$4,
           IF(OR(B295="CE",B295="EE"),4,IF(B295="SE",5,IF(B295="ALI",7,IF(B295="AIE",5,"")))),
        IF('Dados da OS'!$D$8=Parâmetros!$B$3,
           IF(OR(ISBLANK(D295),ISBLANK(F295)),"",
              IF(B295="ALI",IF(L295="L",7,IF(L295="A",10,15)),
                 IF(B295="AIE",IF(L295="L",5,IF(L295="A",7,10)),
                    IF(B295="SE",IF(L295="L",4,IF(L295="A",5,7)),
                       IF(OR(B295="EE",B295="CE"),IF(L295="L",3,IF(L295="A",4,6)),""))))))))),
   IF('Dados da OS'!$D$8=Parâmetros!$B$5,
      IF(OR(AND(B295="INM",N295&lt;&gt;"VF"),AND(N295="VF",B295&lt;&gt;"INM")),"",
         IF(B295="INM",IF(N295="VF",M295*H295,""),
            IF(B295="PE",4.6,
            IF(B295="AL",7,"")))),
   IF('Dados da OS'!$D$8=Parâmetros!$B$6,
      IF(B295="ALI",35,IF(B295="AIE",15,"")),""))
    )
)</f>
        <v/>
      </c>
      <c r="Q295" s="60" t="str">
        <f t="shared" si="31"/>
        <v/>
      </c>
      <c r="R295" s="61"/>
      <c r="S295" s="62"/>
      <c r="T295" s="80" t="s">
        <v>21</v>
      </c>
      <c r="U295" s="81"/>
      <c r="V295" s="99"/>
      <c r="W295" s="55"/>
      <c r="X295" s="55"/>
      <c r="Y295" s="56"/>
      <c r="Z295" s="55"/>
      <c r="AA295" s="56"/>
      <c r="AB295" s="55"/>
      <c r="AC295" s="57" t="str">
        <f t="shared" si="32"/>
        <v/>
      </c>
      <c r="AD295" s="57" t="str">
        <f t="shared" si="33"/>
        <v/>
      </c>
      <c r="AE295" s="57" t="str">
        <f xml:space="preserve">
IF(OR('Dados da OS'!$D$8=Parâmetros!$B$3,'Dados da OS'!$D$8=Parâmetros!$B$4),
  IF(OR(ISBLANK(X295),ISBLANK(Z295)),
     IF(OR(V295="ALI",V295="AIE"),"L",IF(ISBLANK(V295),"","A")),
     IF(V295="EE",IF(Z295&gt;=3,IF(X295&gt;=5,"H","A"),
     IF(Z295&gt;=2,IF(X295&gt;=16,"H",IF(X295&lt;=4,"L","A")),IF(X295&lt;=15,"L","A"))),
     IF(OR(V295="SE",V295="CE"),IF(Z295&gt;=4,IF(X295&gt;=6,"H","A"),IF(Z295&gt;=2,IF(X295&gt;=20,"H",IF(X295&lt;=5,"L","A")),IF(X295&lt;=19,"L","A"))),
     IF(OR(V295="ALI",V295="AIE"),IF(Z295&gt;=6,IF(X295&gt;=20,"H","A"),IF(Z295&gt;=2,IF(X295&gt;=51,"H",IF(X295&lt;=19,"L","A")),IF(X295&lt;=50,"L","A"))))))),
IF('Dados da OS'!$D$8=Parâmetros!$B$6,"Indicativa",
IF('Dados da OS'!$D$8=Parâmetros!$B$5,"PFS","")))</f>
        <v/>
      </c>
      <c r="AF295" s="57">
        <f>IFERROR(VLOOKUP(W295,'Fatores de Impacto e INMs'!$A$3:$D$32,3,0),1)</f>
        <v>1</v>
      </c>
      <c r="AG295" s="57">
        <f>IFERROR(VLOOKUP(W295,'Fatores de Impacto e INMs'!$A$3:$E$32,5,0),1)</f>
        <v>1</v>
      </c>
      <c r="AH295" s="82" t="str">
        <f xml:space="preserve">
IF(OR('Dados da OS'!$D$8="Selecione o tipo da contagem",ISBLANK('Dados da OS'!$D$8),V295="INM",V295="N/A",ISBLANK(V295),ISBLANK(W295),AG295="VF"),"-",
   IF('Dados da OS'!$D$8=Parâmetros!$B$3,
      IF(OR(ISBLANK(X295),ISBLANK(Z295)),"-",
         IF(AE295="L","Baixa",IF(AE295="A","Média",IF(AE295="H","Alta","-")))),
      IF('Dados da OS'!$D$8=Parâmetros!$B$4,
         IF(OR(V295="ALI",V295="AIE"),"Baixa",IF(OR(V295="EE",V295="SE",V295="CE"),"Média","-")),
         IF(OR('Dados da OS'!$D$8=Parâmetros!$B$5,'Dados da OS'!$D$8=Parâmetros!$B$6),"-"))))</f>
        <v>-</v>
      </c>
      <c r="AI295" s="83" t="str">
        <f xml:space="preserve">
IF(OR(ISBLANK(V295),ISBLANK(U295),ISBLANK(W295),V295="N/A",ISBLANK('Dados da OS'!$D$8)),"",
   IF(OR('Dados da OS'!$D$8=Parâmetros!$B$3,'Dados da OS'!$D$8=Parâmetros!$B$4),
      IF(OR(AND(V295="INM",AG295&lt;&gt;"VF"),AND(AG295="VF",V295&lt;&gt;"INM")),"",
        IF(AND(V295="INM",AG295="VF"),IF(ISBLANK(AB295),"",AF295*AB295),
        IF('Dados da OS'!$D$8=Parâmetros!$B$4,
           IF(OR(V295="CE",V295="EE"),4,IF(V295="SE",5,IF(V295="ALI",7,IF(V295="AIE",5,"")))),
        IF('Dados da OS'!$D$8=Parâmetros!$B$3,
           IF(OR(ISBLANK(X295),ISBLANK(Z295)),"",
              IF(V295="ALI",IF(AE295="L",7,IF(AE295="A",10,15)),
                 IF(V295="AIE",IF(AE295="L",5,IF(AE295="A",7,10)),
                    IF(V295="SE",IF(AE295="L",4,IF(AE295="A",5,7)),
                       IF(OR(V295="EE",V295="CE"),IF(AE295="L",3,IF(AE295="A",4,6)),""))))))))),
   IF('Dados da OS'!$D$8=Parâmetros!$B$5,
      IF(OR(AND(V295="INM",AG295&lt;&gt;"VF"),AND(AG295="VF",V295&lt;&gt;"INM")),"",
         IF(V295="INM",IF(AG295="VF",AF295*AB295,""),
            IF(V295="PE",4.6,
            IF(V295="AL",7,"")))),
   IF('Dados da OS'!$D$8=Parâmetros!$B$6,
      IF(V295="ALI",35,IF(V295="AIE",15,"")),""))
    )
)</f>
        <v/>
      </c>
      <c r="AJ295" s="82" t="str">
        <f t="shared" si="34"/>
        <v/>
      </c>
      <c r="AK295" s="84"/>
      <c r="AL295" s="85" t="s">
        <v>21</v>
      </c>
      <c r="AM295" s="86"/>
      <c r="AN295" s="85"/>
      <c r="AO295" s="87"/>
      <c r="AP295" s="85"/>
      <c r="AQ295" s="86"/>
      <c r="AR295" s="85"/>
    </row>
    <row r="296" spans="1:44" ht="15.75" customHeight="1">
      <c r="A296" s="54"/>
      <c r="B296" s="100"/>
      <c r="C296" s="55"/>
      <c r="D296" s="55"/>
      <c r="E296" s="56"/>
      <c r="F296" s="55"/>
      <c r="G296" s="56"/>
      <c r="H296" s="55"/>
      <c r="I296" s="64"/>
      <c r="J296" s="57" t="str">
        <f t="shared" si="29"/>
        <v/>
      </c>
      <c r="K296" s="57" t="str">
        <f t="shared" si="30"/>
        <v/>
      </c>
      <c r="L296" s="57" t="str">
        <f xml:space="preserve">
IF(OR('Dados da OS'!$D$8=Parâmetros!$B$3,'Dados da OS'!$D$8=Parâmetros!$B$4),
  IF(OR(ISBLANK(D296),ISBLANK(F296)),
     IF(OR(B296="ALI",B296="AIE"),"L",IF(ISBLANK(B296),"","A")),
     IF(B296="EE",IF(F296&gt;=3,IF(D296&gt;=5,"H","A"),
     IF(F296&gt;=2,IF(D296&gt;=16,"H",IF(D296&lt;=4,"L","A")),IF(D296&lt;=15,"L","A"))),
     IF(OR(B296="SE",B296="CE"),IF(F296&gt;=4,IF(D296&gt;=6,"H","A"),IF(F296&gt;=2,IF(D296&gt;=20,"H",IF(D296&lt;=5,"L","A")),IF(D296&lt;=19,"L","A"))),
     IF(OR(B296="ALI",B296="AIE"),IF(F296&gt;=6,IF(D296&gt;=20,"H","A"),IF(F296&gt;=2,IF(D296&gt;=51,"H",IF(D296&lt;=19,"L","A")),IF(D296&lt;=50,"L","A"))))))),
IF('Dados da OS'!$D$8=Parâmetros!$B$6,"Indicativa",
IF('Dados da OS'!$D$8=Parâmetros!$B$5,"PFS","")))</f>
        <v/>
      </c>
      <c r="M296" s="57">
        <f>IFERROR(VLOOKUP(C296,'Fatores de Impacto e INMs'!$A$3:$D$32,3,0),1)</f>
        <v>1</v>
      </c>
      <c r="N296" s="57">
        <f>IFERROR(VLOOKUP(C296,'Fatores de Impacto e INMs'!$A$3:$E$32,5,0),1)</f>
        <v>1</v>
      </c>
      <c r="O296" s="63" t="str">
        <f xml:space="preserve">
IF(OR('Dados da OS'!$D$8="Selecione o tipo da contagem",ISBLANK('Dados da OS'!$D$8),B296="INM",B296="N/A",ISBLANK(B296),ISBLANK(C296),N296="VF"),"-",
   IF('Dados da OS'!$D$8=Parâmetros!$B$3,
      IF(OR(ISBLANK(D296),ISBLANK(F296)),"-",
         IF(L296="L","Baixa",IF(L296="A","Média",IF(L296="H","Alta","-")))),
      IF('Dados da OS'!$D$8=Parâmetros!$B$4,
         IF(OR(B296="ALI",B296="AIE"),"Baixa",IF(OR(B296="EE",B296="SE",B296="CE"),"Média","-")),
         IF(OR('Dados da OS'!$D$8=Parâmetros!$B$5,'Dados da OS'!$D$8=Parâmetros!$B$6),"-"))))</f>
        <v>-</v>
      </c>
      <c r="P296" s="59" t="str">
        <f xml:space="preserve">
IF(OR(ISBLANK(B296),ISBLANK(C296),B296="N/A",ISBLANK('Dados da OS'!$D$8)),"",
   IF(OR('Dados da OS'!$D$8=Parâmetros!$B$3,'Dados da OS'!$D$8=Parâmetros!$B$4),
      IF(OR(AND(B296="INM",N296&lt;&gt;"VF"),AND(N296="VF",B296&lt;&gt;"INM")),"",
        IF(AND(B296="INM",N296="VF"),IF(ISBLANK(H296),"",M296*H296),
        IF('Dados da OS'!$D$8=Parâmetros!$B$4,
           IF(OR(B296="CE",B296="EE"),4,IF(B296="SE",5,IF(B296="ALI",7,IF(B296="AIE",5,"")))),
        IF('Dados da OS'!$D$8=Parâmetros!$B$3,
           IF(OR(ISBLANK(D296),ISBLANK(F296)),"",
              IF(B296="ALI",IF(L296="L",7,IF(L296="A",10,15)),
                 IF(B296="AIE",IF(L296="L",5,IF(L296="A",7,10)),
                    IF(B296="SE",IF(L296="L",4,IF(L296="A",5,7)),
                       IF(OR(B296="EE",B296="CE"),IF(L296="L",3,IF(L296="A",4,6)),""))))))))),
   IF('Dados da OS'!$D$8=Parâmetros!$B$5,
      IF(OR(AND(B296="INM",N296&lt;&gt;"VF"),AND(N296="VF",B296&lt;&gt;"INM")),"",
         IF(B296="INM",IF(N296="VF",M296*H296,""),
            IF(B296="PE",4.6,
            IF(B296="AL",7,"")))),
   IF('Dados da OS'!$D$8=Parâmetros!$B$6,
      IF(B296="ALI",35,IF(B296="AIE",15,"")),""))
    )
)</f>
        <v/>
      </c>
      <c r="Q296" s="60" t="str">
        <f t="shared" si="31"/>
        <v/>
      </c>
      <c r="R296" s="61"/>
      <c r="S296" s="62"/>
      <c r="T296" s="80" t="s">
        <v>21</v>
      </c>
      <c r="U296" s="81"/>
      <c r="V296" s="99"/>
      <c r="W296" s="55"/>
      <c r="X296" s="55"/>
      <c r="Y296" s="56"/>
      <c r="Z296" s="55"/>
      <c r="AA296" s="56"/>
      <c r="AB296" s="55"/>
      <c r="AC296" s="57" t="str">
        <f t="shared" si="32"/>
        <v/>
      </c>
      <c r="AD296" s="57" t="str">
        <f t="shared" si="33"/>
        <v/>
      </c>
      <c r="AE296" s="57" t="str">
        <f xml:space="preserve">
IF(OR('Dados da OS'!$D$8=Parâmetros!$B$3,'Dados da OS'!$D$8=Parâmetros!$B$4),
  IF(OR(ISBLANK(X296),ISBLANK(Z296)),
     IF(OR(V296="ALI",V296="AIE"),"L",IF(ISBLANK(V296),"","A")),
     IF(V296="EE",IF(Z296&gt;=3,IF(X296&gt;=5,"H","A"),
     IF(Z296&gt;=2,IF(X296&gt;=16,"H",IF(X296&lt;=4,"L","A")),IF(X296&lt;=15,"L","A"))),
     IF(OR(V296="SE",V296="CE"),IF(Z296&gt;=4,IF(X296&gt;=6,"H","A"),IF(Z296&gt;=2,IF(X296&gt;=20,"H",IF(X296&lt;=5,"L","A")),IF(X296&lt;=19,"L","A"))),
     IF(OR(V296="ALI",V296="AIE"),IF(Z296&gt;=6,IF(X296&gt;=20,"H","A"),IF(Z296&gt;=2,IF(X296&gt;=51,"H",IF(X296&lt;=19,"L","A")),IF(X296&lt;=50,"L","A"))))))),
IF('Dados da OS'!$D$8=Parâmetros!$B$6,"Indicativa",
IF('Dados da OS'!$D$8=Parâmetros!$B$5,"PFS","")))</f>
        <v/>
      </c>
      <c r="AF296" s="57">
        <f>IFERROR(VLOOKUP(W296,'Fatores de Impacto e INMs'!$A$3:$D$32,3,0),1)</f>
        <v>1</v>
      </c>
      <c r="AG296" s="57">
        <f>IFERROR(VLOOKUP(W296,'Fatores de Impacto e INMs'!$A$3:$E$32,5,0),1)</f>
        <v>1</v>
      </c>
      <c r="AH296" s="82" t="str">
        <f xml:space="preserve">
IF(OR('Dados da OS'!$D$8="Selecione o tipo da contagem",ISBLANK('Dados da OS'!$D$8),V296="INM",V296="N/A",ISBLANK(V296),ISBLANK(W296),AG296="VF"),"-",
   IF('Dados da OS'!$D$8=Parâmetros!$B$3,
      IF(OR(ISBLANK(X296),ISBLANK(Z296)),"-",
         IF(AE296="L","Baixa",IF(AE296="A","Média",IF(AE296="H","Alta","-")))),
      IF('Dados da OS'!$D$8=Parâmetros!$B$4,
         IF(OR(V296="ALI",V296="AIE"),"Baixa",IF(OR(V296="EE",V296="SE",V296="CE"),"Média","-")),
         IF(OR('Dados da OS'!$D$8=Parâmetros!$B$5,'Dados da OS'!$D$8=Parâmetros!$B$6),"-"))))</f>
        <v>-</v>
      </c>
      <c r="AI296" s="83" t="str">
        <f xml:space="preserve">
IF(OR(ISBLANK(V296),ISBLANK(U296),ISBLANK(W296),V296="N/A",ISBLANK('Dados da OS'!$D$8)),"",
   IF(OR('Dados da OS'!$D$8=Parâmetros!$B$3,'Dados da OS'!$D$8=Parâmetros!$B$4),
      IF(OR(AND(V296="INM",AG296&lt;&gt;"VF"),AND(AG296="VF",V296&lt;&gt;"INM")),"",
        IF(AND(V296="INM",AG296="VF"),IF(ISBLANK(AB296),"",AF296*AB296),
        IF('Dados da OS'!$D$8=Parâmetros!$B$4,
           IF(OR(V296="CE",V296="EE"),4,IF(V296="SE",5,IF(V296="ALI",7,IF(V296="AIE",5,"")))),
        IF('Dados da OS'!$D$8=Parâmetros!$B$3,
           IF(OR(ISBLANK(X296),ISBLANK(Z296)),"",
              IF(V296="ALI",IF(AE296="L",7,IF(AE296="A",10,15)),
                 IF(V296="AIE",IF(AE296="L",5,IF(AE296="A",7,10)),
                    IF(V296="SE",IF(AE296="L",4,IF(AE296="A",5,7)),
                       IF(OR(V296="EE",V296="CE"),IF(AE296="L",3,IF(AE296="A",4,6)),""))))))))),
   IF('Dados da OS'!$D$8=Parâmetros!$B$5,
      IF(OR(AND(V296="INM",AG296&lt;&gt;"VF"),AND(AG296="VF",V296&lt;&gt;"INM")),"",
         IF(V296="INM",IF(AG296="VF",AF296*AB296,""),
            IF(V296="PE",4.6,
            IF(V296="AL",7,"")))),
   IF('Dados da OS'!$D$8=Parâmetros!$B$6,
      IF(V296="ALI",35,IF(V296="AIE",15,"")),""))
    )
)</f>
        <v/>
      </c>
      <c r="AJ296" s="82" t="str">
        <f t="shared" si="34"/>
        <v/>
      </c>
      <c r="AK296" s="84"/>
      <c r="AL296" s="85" t="s">
        <v>21</v>
      </c>
      <c r="AM296" s="86"/>
      <c r="AN296" s="85"/>
      <c r="AO296" s="87"/>
      <c r="AP296" s="85"/>
      <c r="AQ296" s="86"/>
      <c r="AR296" s="85"/>
    </row>
    <row r="297" spans="1:44" ht="15.75" customHeight="1">
      <c r="A297" s="54"/>
      <c r="B297" s="100"/>
      <c r="C297" s="55"/>
      <c r="D297" s="55"/>
      <c r="E297" s="56"/>
      <c r="F297" s="55"/>
      <c r="G297" s="56"/>
      <c r="H297" s="55"/>
      <c r="I297" s="64"/>
      <c r="J297" s="57" t="str">
        <f t="shared" si="29"/>
        <v/>
      </c>
      <c r="K297" s="57" t="str">
        <f t="shared" si="30"/>
        <v/>
      </c>
      <c r="L297" s="57" t="str">
        <f xml:space="preserve">
IF(OR('Dados da OS'!$D$8=Parâmetros!$B$3,'Dados da OS'!$D$8=Parâmetros!$B$4),
  IF(OR(ISBLANK(D297),ISBLANK(F297)),
     IF(OR(B297="ALI",B297="AIE"),"L",IF(ISBLANK(B297),"","A")),
     IF(B297="EE",IF(F297&gt;=3,IF(D297&gt;=5,"H","A"),
     IF(F297&gt;=2,IF(D297&gt;=16,"H",IF(D297&lt;=4,"L","A")),IF(D297&lt;=15,"L","A"))),
     IF(OR(B297="SE",B297="CE"),IF(F297&gt;=4,IF(D297&gt;=6,"H","A"),IF(F297&gt;=2,IF(D297&gt;=20,"H",IF(D297&lt;=5,"L","A")),IF(D297&lt;=19,"L","A"))),
     IF(OR(B297="ALI",B297="AIE"),IF(F297&gt;=6,IF(D297&gt;=20,"H","A"),IF(F297&gt;=2,IF(D297&gt;=51,"H",IF(D297&lt;=19,"L","A")),IF(D297&lt;=50,"L","A"))))))),
IF('Dados da OS'!$D$8=Parâmetros!$B$6,"Indicativa",
IF('Dados da OS'!$D$8=Parâmetros!$B$5,"PFS","")))</f>
        <v/>
      </c>
      <c r="M297" s="57">
        <f>IFERROR(VLOOKUP(C297,'Fatores de Impacto e INMs'!$A$3:$D$32,3,0),1)</f>
        <v>1</v>
      </c>
      <c r="N297" s="57">
        <f>IFERROR(VLOOKUP(C297,'Fatores de Impacto e INMs'!$A$3:$E$32,5,0),1)</f>
        <v>1</v>
      </c>
      <c r="O297" s="63" t="str">
        <f xml:space="preserve">
IF(OR('Dados da OS'!$D$8="Selecione o tipo da contagem",ISBLANK('Dados da OS'!$D$8),B297="INM",B297="N/A",ISBLANK(B297),ISBLANK(C297),N297="VF"),"-",
   IF('Dados da OS'!$D$8=Parâmetros!$B$3,
      IF(OR(ISBLANK(D297),ISBLANK(F297)),"-",
         IF(L297="L","Baixa",IF(L297="A","Média",IF(L297="H","Alta","-")))),
      IF('Dados da OS'!$D$8=Parâmetros!$B$4,
         IF(OR(B297="ALI",B297="AIE"),"Baixa",IF(OR(B297="EE",B297="SE",B297="CE"),"Média","-")),
         IF(OR('Dados da OS'!$D$8=Parâmetros!$B$5,'Dados da OS'!$D$8=Parâmetros!$B$6),"-"))))</f>
        <v>-</v>
      </c>
      <c r="P297" s="59" t="str">
        <f xml:space="preserve">
IF(OR(ISBLANK(B297),ISBLANK(C297),B297="N/A",ISBLANK('Dados da OS'!$D$8)),"",
   IF(OR('Dados da OS'!$D$8=Parâmetros!$B$3,'Dados da OS'!$D$8=Parâmetros!$B$4),
      IF(OR(AND(B297="INM",N297&lt;&gt;"VF"),AND(N297="VF",B297&lt;&gt;"INM")),"",
        IF(AND(B297="INM",N297="VF"),IF(ISBLANK(H297),"",M297*H297),
        IF('Dados da OS'!$D$8=Parâmetros!$B$4,
           IF(OR(B297="CE",B297="EE"),4,IF(B297="SE",5,IF(B297="ALI",7,IF(B297="AIE",5,"")))),
        IF('Dados da OS'!$D$8=Parâmetros!$B$3,
           IF(OR(ISBLANK(D297),ISBLANK(F297)),"",
              IF(B297="ALI",IF(L297="L",7,IF(L297="A",10,15)),
                 IF(B297="AIE",IF(L297="L",5,IF(L297="A",7,10)),
                    IF(B297="SE",IF(L297="L",4,IF(L297="A",5,7)),
                       IF(OR(B297="EE",B297="CE"),IF(L297="L",3,IF(L297="A",4,6)),""))))))))),
   IF('Dados da OS'!$D$8=Parâmetros!$B$5,
      IF(OR(AND(B297="INM",N297&lt;&gt;"VF"),AND(N297="VF",B297&lt;&gt;"INM")),"",
         IF(B297="INM",IF(N297="VF",M297*H297,""),
            IF(B297="PE",4.6,
            IF(B297="AL",7,"")))),
   IF('Dados da OS'!$D$8=Parâmetros!$B$6,
      IF(B297="ALI",35,IF(B297="AIE",15,"")),""))
    )
)</f>
        <v/>
      </c>
      <c r="Q297" s="60" t="str">
        <f t="shared" si="31"/>
        <v/>
      </c>
      <c r="R297" s="61"/>
      <c r="S297" s="62"/>
      <c r="T297" s="80" t="s">
        <v>21</v>
      </c>
      <c r="U297" s="81"/>
      <c r="V297" s="99"/>
      <c r="W297" s="55"/>
      <c r="X297" s="55"/>
      <c r="Y297" s="56"/>
      <c r="Z297" s="55"/>
      <c r="AA297" s="56"/>
      <c r="AB297" s="55"/>
      <c r="AC297" s="57" t="str">
        <f t="shared" si="32"/>
        <v/>
      </c>
      <c r="AD297" s="57" t="str">
        <f t="shared" si="33"/>
        <v/>
      </c>
      <c r="AE297" s="57" t="str">
        <f xml:space="preserve">
IF(OR('Dados da OS'!$D$8=Parâmetros!$B$3,'Dados da OS'!$D$8=Parâmetros!$B$4),
  IF(OR(ISBLANK(X297),ISBLANK(Z297)),
     IF(OR(V297="ALI",V297="AIE"),"L",IF(ISBLANK(V297),"","A")),
     IF(V297="EE",IF(Z297&gt;=3,IF(X297&gt;=5,"H","A"),
     IF(Z297&gt;=2,IF(X297&gt;=16,"H",IF(X297&lt;=4,"L","A")),IF(X297&lt;=15,"L","A"))),
     IF(OR(V297="SE",V297="CE"),IF(Z297&gt;=4,IF(X297&gt;=6,"H","A"),IF(Z297&gt;=2,IF(X297&gt;=20,"H",IF(X297&lt;=5,"L","A")),IF(X297&lt;=19,"L","A"))),
     IF(OR(V297="ALI",V297="AIE"),IF(Z297&gt;=6,IF(X297&gt;=20,"H","A"),IF(Z297&gt;=2,IF(X297&gt;=51,"H",IF(X297&lt;=19,"L","A")),IF(X297&lt;=50,"L","A"))))))),
IF('Dados da OS'!$D$8=Parâmetros!$B$6,"Indicativa",
IF('Dados da OS'!$D$8=Parâmetros!$B$5,"PFS","")))</f>
        <v/>
      </c>
      <c r="AF297" s="57">
        <f>IFERROR(VLOOKUP(W297,'Fatores de Impacto e INMs'!$A$3:$D$32,3,0),1)</f>
        <v>1</v>
      </c>
      <c r="AG297" s="57">
        <f>IFERROR(VLOOKUP(W297,'Fatores de Impacto e INMs'!$A$3:$E$32,5,0),1)</f>
        <v>1</v>
      </c>
      <c r="AH297" s="82" t="str">
        <f xml:space="preserve">
IF(OR('Dados da OS'!$D$8="Selecione o tipo da contagem",ISBLANK('Dados da OS'!$D$8),V297="INM",V297="N/A",ISBLANK(V297),ISBLANK(W297),AG297="VF"),"-",
   IF('Dados da OS'!$D$8=Parâmetros!$B$3,
      IF(OR(ISBLANK(X297),ISBLANK(Z297)),"-",
         IF(AE297="L","Baixa",IF(AE297="A","Média",IF(AE297="H","Alta","-")))),
      IF('Dados da OS'!$D$8=Parâmetros!$B$4,
         IF(OR(V297="ALI",V297="AIE"),"Baixa",IF(OR(V297="EE",V297="SE",V297="CE"),"Média","-")),
         IF(OR('Dados da OS'!$D$8=Parâmetros!$B$5,'Dados da OS'!$D$8=Parâmetros!$B$6),"-"))))</f>
        <v>-</v>
      </c>
      <c r="AI297" s="83" t="str">
        <f xml:space="preserve">
IF(OR(ISBLANK(V297),ISBLANK(U297),ISBLANK(W297),V297="N/A",ISBLANK('Dados da OS'!$D$8)),"",
   IF(OR('Dados da OS'!$D$8=Parâmetros!$B$3,'Dados da OS'!$D$8=Parâmetros!$B$4),
      IF(OR(AND(V297="INM",AG297&lt;&gt;"VF"),AND(AG297="VF",V297&lt;&gt;"INM")),"",
        IF(AND(V297="INM",AG297="VF"),IF(ISBLANK(AB297),"",AF297*AB297),
        IF('Dados da OS'!$D$8=Parâmetros!$B$4,
           IF(OR(V297="CE",V297="EE"),4,IF(V297="SE",5,IF(V297="ALI",7,IF(V297="AIE",5,"")))),
        IF('Dados da OS'!$D$8=Parâmetros!$B$3,
           IF(OR(ISBLANK(X297),ISBLANK(Z297)),"",
              IF(V297="ALI",IF(AE297="L",7,IF(AE297="A",10,15)),
                 IF(V297="AIE",IF(AE297="L",5,IF(AE297="A",7,10)),
                    IF(V297="SE",IF(AE297="L",4,IF(AE297="A",5,7)),
                       IF(OR(V297="EE",V297="CE"),IF(AE297="L",3,IF(AE297="A",4,6)),""))))))))),
   IF('Dados da OS'!$D$8=Parâmetros!$B$5,
      IF(OR(AND(V297="INM",AG297&lt;&gt;"VF"),AND(AG297="VF",V297&lt;&gt;"INM")),"",
         IF(V297="INM",IF(AG297="VF",AF297*AB297,""),
            IF(V297="PE",4.6,
            IF(V297="AL",7,"")))),
   IF('Dados da OS'!$D$8=Parâmetros!$B$6,
      IF(V297="ALI",35,IF(V297="AIE",15,"")),""))
    )
)</f>
        <v/>
      </c>
      <c r="AJ297" s="82" t="str">
        <f t="shared" si="34"/>
        <v/>
      </c>
      <c r="AK297" s="84"/>
      <c r="AL297" s="85" t="s">
        <v>21</v>
      </c>
      <c r="AM297" s="86"/>
      <c r="AN297" s="85"/>
      <c r="AO297" s="87"/>
      <c r="AP297" s="85"/>
      <c r="AQ297" s="86"/>
      <c r="AR297" s="85"/>
    </row>
    <row r="298" spans="1:44" ht="15.75" customHeight="1">
      <c r="A298" s="54"/>
      <c r="B298" s="100"/>
      <c r="C298" s="55"/>
      <c r="D298" s="55"/>
      <c r="E298" s="56"/>
      <c r="F298" s="55"/>
      <c r="G298" s="56"/>
      <c r="H298" s="55"/>
      <c r="I298" s="64"/>
      <c r="J298" s="57" t="str">
        <f t="shared" si="29"/>
        <v/>
      </c>
      <c r="K298" s="57" t="str">
        <f t="shared" si="30"/>
        <v/>
      </c>
      <c r="L298" s="57" t="str">
        <f xml:space="preserve">
IF(OR('Dados da OS'!$D$8=Parâmetros!$B$3,'Dados da OS'!$D$8=Parâmetros!$B$4),
  IF(OR(ISBLANK(D298),ISBLANK(F298)),
     IF(OR(B298="ALI",B298="AIE"),"L",IF(ISBLANK(B298),"","A")),
     IF(B298="EE",IF(F298&gt;=3,IF(D298&gt;=5,"H","A"),
     IF(F298&gt;=2,IF(D298&gt;=16,"H",IF(D298&lt;=4,"L","A")),IF(D298&lt;=15,"L","A"))),
     IF(OR(B298="SE",B298="CE"),IF(F298&gt;=4,IF(D298&gt;=6,"H","A"),IF(F298&gt;=2,IF(D298&gt;=20,"H",IF(D298&lt;=5,"L","A")),IF(D298&lt;=19,"L","A"))),
     IF(OR(B298="ALI",B298="AIE"),IF(F298&gt;=6,IF(D298&gt;=20,"H","A"),IF(F298&gt;=2,IF(D298&gt;=51,"H",IF(D298&lt;=19,"L","A")),IF(D298&lt;=50,"L","A"))))))),
IF('Dados da OS'!$D$8=Parâmetros!$B$6,"Indicativa",
IF('Dados da OS'!$D$8=Parâmetros!$B$5,"PFS","")))</f>
        <v/>
      </c>
      <c r="M298" s="57">
        <f>IFERROR(VLOOKUP(C298,'Fatores de Impacto e INMs'!$A$3:$D$32,3,0),1)</f>
        <v>1</v>
      </c>
      <c r="N298" s="57">
        <f>IFERROR(VLOOKUP(C298,'Fatores de Impacto e INMs'!$A$3:$E$32,5,0),1)</f>
        <v>1</v>
      </c>
      <c r="O298" s="63" t="str">
        <f xml:space="preserve">
IF(OR('Dados da OS'!$D$8="Selecione o tipo da contagem",ISBLANK('Dados da OS'!$D$8),B298="INM",B298="N/A",ISBLANK(B298),ISBLANK(C298),N298="VF"),"-",
   IF('Dados da OS'!$D$8=Parâmetros!$B$3,
      IF(OR(ISBLANK(D298),ISBLANK(F298)),"-",
         IF(L298="L","Baixa",IF(L298="A","Média",IF(L298="H","Alta","-")))),
      IF('Dados da OS'!$D$8=Parâmetros!$B$4,
         IF(OR(B298="ALI",B298="AIE"),"Baixa",IF(OR(B298="EE",B298="SE",B298="CE"),"Média","-")),
         IF(OR('Dados da OS'!$D$8=Parâmetros!$B$5,'Dados da OS'!$D$8=Parâmetros!$B$6),"-"))))</f>
        <v>-</v>
      </c>
      <c r="P298" s="59" t="str">
        <f xml:space="preserve">
IF(OR(ISBLANK(B298),ISBLANK(C298),B298="N/A",ISBLANK('Dados da OS'!$D$8)),"",
   IF(OR('Dados da OS'!$D$8=Parâmetros!$B$3,'Dados da OS'!$D$8=Parâmetros!$B$4),
      IF(OR(AND(B298="INM",N298&lt;&gt;"VF"),AND(N298="VF",B298&lt;&gt;"INM")),"",
        IF(AND(B298="INM",N298="VF"),IF(ISBLANK(H298),"",M298*H298),
        IF('Dados da OS'!$D$8=Parâmetros!$B$4,
           IF(OR(B298="CE",B298="EE"),4,IF(B298="SE",5,IF(B298="ALI",7,IF(B298="AIE",5,"")))),
        IF('Dados da OS'!$D$8=Parâmetros!$B$3,
           IF(OR(ISBLANK(D298),ISBLANK(F298)),"",
              IF(B298="ALI",IF(L298="L",7,IF(L298="A",10,15)),
                 IF(B298="AIE",IF(L298="L",5,IF(L298="A",7,10)),
                    IF(B298="SE",IF(L298="L",4,IF(L298="A",5,7)),
                       IF(OR(B298="EE",B298="CE"),IF(L298="L",3,IF(L298="A",4,6)),""))))))))),
   IF('Dados da OS'!$D$8=Parâmetros!$B$5,
      IF(OR(AND(B298="INM",N298&lt;&gt;"VF"),AND(N298="VF",B298&lt;&gt;"INM")),"",
         IF(B298="INM",IF(N298="VF",M298*H298,""),
            IF(B298="PE",4.6,
            IF(B298="AL",7,"")))),
   IF('Dados da OS'!$D$8=Parâmetros!$B$6,
      IF(B298="ALI",35,IF(B298="AIE",15,"")),""))
    )
)</f>
        <v/>
      </c>
      <c r="Q298" s="60" t="str">
        <f t="shared" si="31"/>
        <v/>
      </c>
      <c r="R298" s="61"/>
      <c r="S298" s="62"/>
      <c r="T298" s="80" t="s">
        <v>21</v>
      </c>
      <c r="U298" s="81"/>
      <c r="V298" s="99"/>
      <c r="W298" s="55"/>
      <c r="X298" s="55"/>
      <c r="Y298" s="56"/>
      <c r="Z298" s="55"/>
      <c r="AA298" s="56"/>
      <c r="AB298" s="55"/>
      <c r="AC298" s="57" t="str">
        <f t="shared" si="32"/>
        <v/>
      </c>
      <c r="AD298" s="57" t="str">
        <f t="shared" si="33"/>
        <v/>
      </c>
      <c r="AE298" s="57" t="str">
        <f xml:space="preserve">
IF(OR('Dados da OS'!$D$8=Parâmetros!$B$3,'Dados da OS'!$D$8=Parâmetros!$B$4),
  IF(OR(ISBLANK(X298),ISBLANK(Z298)),
     IF(OR(V298="ALI",V298="AIE"),"L",IF(ISBLANK(V298),"","A")),
     IF(V298="EE",IF(Z298&gt;=3,IF(X298&gt;=5,"H","A"),
     IF(Z298&gt;=2,IF(X298&gt;=16,"H",IF(X298&lt;=4,"L","A")),IF(X298&lt;=15,"L","A"))),
     IF(OR(V298="SE",V298="CE"),IF(Z298&gt;=4,IF(X298&gt;=6,"H","A"),IF(Z298&gt;=2,IF(X298&gt;=20,"H",IF(X298&lt;=5,"L","A")),IF(X298&lt;=19,"L","A"))),
     IF(OR(V298="ALI",V298="AIE"),IF(Z298&gt;=6,IF(X298&gt;=20,"H","A"),IF(Z298&gt;=2,IF(X298&gt;=51,"H",IF(X298&lt;=19,"L","A")),IF(X298&lt;=50,"L","A"))))))),
IF('Dados da OS'!$D$8=Parâmetros!$B$6,"Indicativa",
IF('Dados da OS'!$D$8=Parâmetros!$B$5,"PFS","")))</f>
        <v/>
      </c>
      <c r="AF298" s="57">
        <f>IFERROR(VLOOKUP(W298,'Fatores de Impacto e INMs'!$A$3:$D$32,3,0),1)</f>
        <v>1</v>
      </c>
      <c r="AG298" s="57">
        <f>IFERROR(VLOOKUP(W298,'Fatores de Impacto e INMs'!$A$3:$E$32,5,0),1)</f>
        <v>1</v>
      </c>
      <c r="AH298" s="82" t="str">
        <f xml:space="preserve">
IF(OR('Dados da OS'!$D$8="Selecione o tipo da contagem",ISBLANK('Dados da OS'!$D$8),V298="INM",V298="N/A",ISBLANK(V298),ISBLANK(W298),AG298="VF"),"-",
   IF('Dados da OS'!$D$8=Parâmetros!$B$3,
      IF(OR(ISBLANK(X298),ISBLANK(Z298)),"-",
         IF(AE298="L","Baixa",IF(AE298="A","Média",IF(AE298="H","Alta","-")))),
      IF('Dados da OS'!$D$8=Parâmetros!$B$4,
         IF(OR(V298="ALI",V298="AIE"),"Baixa",IF(OR(V298="EE",V298="SE",V298="CE"),"Média","-")),
         IF(OR('Dados da OS'!$D$8=Parâmetros!$B$5,'Dados da OS'!$D$8=Parâmetros!$B$6),"-"))))</f>
        <v>-</v>
      </c>
      <c r="AI298" s="83" t="str">
        <f xml:space="preserve">
IF(OR(ISBLANK(V298),ISBLANK(U298),ISBLANK(W298),V298="N/A",ISBLANK('Dados da OS'!$D$8)),"",
   IF(OR('Dados da OS'!$D$8=Parâmetros!$B$3,'Dados da OS'!$D$8=Parâmetros!$B$4),
      IF(OR(AND(V298="INM",AG298&lt;&gt;"VF"),AND(AG298="VF",V298&lt;&gt;"INM")),"",
        IF(AND(V298="INM",AG298="VF"),IF(ISBLANK(AB298),"",AF298*AB298),
        IF('Dados da OS'!$D$8=Parâmetros!$B$4,
           IF(OR(V298="CE",V298="EE"),4,IF(V298="SE",5,IF(V298="ALI",7,IF(V298="AIE",5,"")))),
        IF('Dados da OS'!$D$8=Parâmetros!$B$3,
           IF(OR(ISBLANK(X298),ISBLANK(Z298)),"",
              IF(V298="ALI",IF(AE298="L",7,IF(AE298="A",10,15)),
                 IF(V298="AIE",IF(AE298="L",5,IF(AE298="A",7,10)),
                    IF(V298="SE",IF(AE298="L",4,IF(AE298="A",5,7)),
                       IF(OR(V298="EE",V298="CE"),IF(AE298="L",3,IF(AE298="A",4,6)),""))))))))),
   IF('Dados da OS'!$D$8=Parâmetros!$B$5,
      IF(OR(AND(V298="INM",AG298&lt;&gt;"VF"),AND(AG298="VF",V298&lt;&gt;"INM")),"",
         IF(V298="INM",IF(AG298="VF",AF298*AB298,""),
            IF(V298="PE",4.6,
            IF(V298="AL",7,"")))),
   IF('Dados da OS'!$D$8=Parâmetros!$B$6,
      IF(V298="ALI",35,IF(V298="AIE",15,"")),""))
    )
)</f>
        <v/>
      </c>
      <c r="AJ298" s="82" t="str">
        <f t="shared" si="34"/>
        <v/>
      </c>
      <c r="AK298" s="84"/>
      <c r="AL298" s="85" t="s">
        <v>21</v>
      </c>
      <c r="AM298" s="86"/>
      <c r="AN298" s="85"/>
      <c r="AO298" s="87"/>
      <c r="AP298" s="85"/>
      <c r="AQ298" s="86"/>
      <c r="AR298" s="85"/>
    </row>
    <row r="299" spans="1:44" ht="15.75" customHeight="1">
      <c r="A299" s="54"/>
      <c r="B299" s="100"/>
      <c r="C299" s="55"/>
      <c r="D299" s="55"/>
      <c r="E299" s="56"/>
      <c r="F299" s="55"/>
      <c r="G299" s="56"/>
      <c r="H299" s="55"/>
      <c r="I299" s="64"/>
      <c r="J299" s="57" t="str">
        <f t="shared" si="29"/>
        <v/>
      </c>
      <c r="K299" s="57" t="str">
        <f t="shared" si="30"/>
        <v/>
      </c>
      <c r="L299" s="57" t="str">
        <f xml:space="preserve">
IF(OR('Dados da OS'!$D$8=Parâmetros!$B$3,'Dados da OS'!$D$8=Parâmetros!$B$4),
  IF(OR(ISBLANK(D299),ISBLANK(F299)),
     IF(OR(B299="ALI",B299="AIE"),"L",IF(ISBLANK(B299),"","A")),
     IF(B299="EE",IF(F299&gt;=3,IF(D299&gt;=5,"H","A"),
     IF(F299&gt;=2,IF(D299&gt;=16,"H",IF(D299&lt;=4,"L","A")),IF(D299&lt;=15,"L","A"))),
     IF(OR(B299="SE",B299="CE"),IF(F299&gt;=4,IF(D299&gt;=6,"H","A"),IF(F299&gt;=2,IF(D299&gt;=20,"H",IF(D299&lt;=5,"L","A")),IF(D299&lt;=19,"L","A"))),
     IF(OR(B299="ALI",B299="AIE"),IF(F299&gt;=6,IF(D299&gt;=20,"H","A"),IF(F299&gt;=2,IF(D299&gt;=51,"H",IF(D299&lt;=19,"L","A")),IF(D299&lt;=50,"L","A"))))))),
IF('Dados da OS'!$D$8=Parâmetros!$B$6,"Indicativa",
IF('Dados da OS'!$D$8=Parâmetros!$B$5,"PFS","")))</f>
        <v/>
      </c>
      <c r="M299" s="57">
        <f>IFERROR(VLOOKUP(C299,'Fatores de Impacto e INMs'!$A$3:$D$32,3,0),1)</f>
        <v>1</v>
      </c>
      <c r="N299" s="57">
        <f>IFERROR(VLOOKUP(C299,'Fatores de Impacto e INMs'!$A$3:$E$32,5,0),1)</f>
        <v>1</v>
      </c>
      <c r="O299" s="63" t="str">
        <f xml:space="preserve">
IF(OR('Dados da OS'!$D$8="Selecione o tipo da contagem",ISBLANK('Dados da OS'!$D$8),B299="INM",B299="N/A",ISBLANK(B299),ISBLANK(C299),N299="VF"),"-",
   IF('Dados da OS'!$D$8=Parâmetros!$B$3,
      IF(OR(ISBLANK(D299),ISBLANK(F299)),"-",
         IF(L299="L","Baixa",IF(L299="A","Média",IF(L299="H","Alta","-")))),
      IF('Dados da OS'!$D$8=Parâmetros!$B$4,
         IF(OR(B299="ALI",B299="AIE"),"Baixa",IF(OR(B299="EE",B299="SE",B299="CE"),"Média","-")),
         IF(OR('Dados da OS'!$D$8=Parâmetros!$B$5,'Dados da OS'!$D$8=Parâmetros!$B$6),"-"))))</f>
        <v>-</v>
      </c>
      <c r="P299" s="59" t="str">
        <f xml:space="preserve">
IF(OR(ISBLANK(B299),ISBLANK(C299),B299="N/A",ISBLANK('Dados da OS'!$D$8)),"",
   IF(OR('Dados da OS'!$D$8=Parâmetros!$B$3,'Dados da OS'!$D$8=Parâmetros!$B$4),
      IF(OR(AND(B299="INM",N299&lt;&gt;"VF"),AND(N299="VF",B299&lt;&gt;"INM")),"",
        IF(AND(B299="INM",N299="VF"),IF(ISBLANK(H299),"",M299*H299),
        IF('Dados da OS'!$D$8=Parâmetros!$B$4,
           IF(OR(B299="CE",B299="EE"),4,IF(B299="SE",5,IF(B299="ALI",7,IF(B299="AIE",5,"")))),
        IF('Dados da OS'!$D$8=Parâmetros!$B$3,
           IF(OR(ISBLANK(D299),ISBLANK(F299)),"",
              IF(B299="ALI",IF(L299="L",7,IF(L299="A",10,15)),
                 IF(B299="AIE",IF(L299="L",5,IF(L299="A",7,10)),
                    IF(B299="SE",IF(L299="L",4,IF(L299="A",5,7)),
                       IF(OR(B299="EE",B299="CE"),IF(L299="L",3,IF(L299="A",4,6)),""))))))))),
   IF('Dados da OS'!$D$8=Parâmetros!$B$5,
      IF(OR(AND(B299="INM",N299&lt;&gt;"VF"),AND(N299="VF",B299&lt;&gt;"INM")),"",
         IF(B299="INM",IF(N299="VF",M299*H299,""),
            IF(B299="PE",4.6,
            IF(B299="AL",7,"")))),
   IF('Dados da OS'!$D$8=Parâmetros!$B$6,
      IF(B299="ALI",35,IF(B299="AIE",15,"")),""))
    )
)</f>
        <v/>
      </c>
      <c r="Q299" s="60" t="str">
        <f t="shared" si="31"/>
        <v/>
      </c>
      <c r="R299" s="61"/>
      <c r="S299" s="62"/>
      <c r="T299" s="80" t="s">
        <v>21</v>
      </c>
      <c r="U299" s="81"/>
      <c r="V299" s="99"/>
      <c r="W299" s="55"/>
      <c r="X299" s="55"/>
      <c r="Y299" s="56"/>
      <c r="Z299" s="55"/>
      <c r="AA299" s="56"/>
      <c r="AB299" s="55"/>
      <c r="AC299" s="57" t="str">
        <f t="shared" si="32"/>
        <v/>
      </c>
      <c r="AD299" s="57" t="str">
        <f t="shared" si="33"/>
        <v/>
      </c>
      <c r="AE299" s="57" t="str">
        <f xml:space="preserve">
IF(OR('Dados da OS'!$D$8=Parâmetros!$B$3,'Dados da OS'!$D$8=Parâmetros!$B$4),
  IF(OR(ISBLANK(X299),ISBLANK(Z299)),
     IF(OR(V299="ALI",V299="AIE"),"L",IF(ISBLANK(V299),"","A")),
     IF(V299="EE",IF(Z299&gt;=3,IF(X299&gt;=5,"H","A"),
     IF(Z299&gt;=2,IF(X299&gt;=16,"H",IF(X299&lt;=4,"L","A")),IF(X299&lt;=15,"L","A"))),
     IF(OR(V299="SE",V299="CE"),IF(Z299&gt;=4,IF(X299&gt;=6,"H","A"),IF(Z299&gt;=2,IF(X299&gt;=20,"H",IF(X299&lt;=5,"L","A")),IF(X299&lt;=19,"L","A"))),
     IF(OR(V299="ALI",V299="AIE"),IF(Z299&gt;=6,IF(X299&gt;=20,"H","A"),IF(Z299&gt;=2,IF(X299&gt;=51,"H",IF(X299&lt;=19,"L","A")),IF(X299&lt;=50,"L","A"))))))),
IF('Dados da OS'!$D$8=Parâmetros!$B$6,"Indicativa",
IF('Dados da OS'!$D$8=Parâmetros!$B$5,"PFS","")))</f>
        <v/>
      </c>
      <c r="AF299" s="57">
        <f>IFERROR(VLOOKUP(W299,'Fatores de Impacto e INMs'!$A$3:$D$32,3,0),1)</f>
        <v>1</v>
      </c>
      <c r="AG299" s="57">
        <f>IFERROR(VLOOKUP(W299,'Fatores de Impacto e INMs'!$A$3:$E$32,5,0),1)</f>
        <v>1</v>
      </c>
      <c r="AH299" s="82" t="str">
        <f xml:space="preserve">
IF(OR('Dados da OS'!$D$8="Selecione o tipo da contagem",ISBLANK('Dados da OS'!$D$8),V299="INM",V299="N/A",ISBLANK(V299),ISBLANK(W299),AG299="VF"),"-",
   IF('Dados da OS'!$D$8=Parâmetros!$B$3,
      IF(OR(ISBLANK(X299),ISBLANK(Z299)),"-",
         IF(AE299="L","Baixa",IF(AE299="A","Média",IF(AE299="H","Alta","-")))),
      IF('Dados da OS'!$D$8=Parâmetros!$B$4,
         IF(OR(V299="ALI",V299="AIE"),"Baixa",IF(OR(V299="EE",V299="SE",V299="CE"),"Média","-")),
         IF(OR('Dados da OS'!$D$8=Parâmetros!$B$5,'Dados da OS'!$D$8=Parâmetros!$B$6),"-"))))</f>
        <v>-</v>
      </c>
      <c r="AI299" s="83" t="str">
        <f xml:space="preserve">
IF(OR(ISBLANK(V299),ISBLANK(U299),ISBLANK(W299),V299="N/A",ISBLANK('Dados da OS'!$D$8)),"",
   IF(OR('Dados da OS'!$D$8=Parâmetros!$B$3,'Dados da OS'!$D$8=Parâmetros!$B$4),
      IF(OR(AND(V299="INM",AG299&lt;&gt;"VF"),AND(AG299="VF",V299&lt;&gt;"INM")),"",
        IF(AND(V299="INM",AG299="VF"),IF(ISBLANK(AB299),"",AF299*AB299),
        IF('Dados da OS'!$D$8=Parâmetros!$B$4,
           IF(OR(V299="CE",V299="EE"),4,IF(V299="SE",5,IF(V299="ALI",7,IF(V299="AIE",5,"")))),
        IF('Dados da OS'!$D$8=Parâmetros!$B$3,
           IF(OR(ISBLANK(X299),ISBLANK(Z299)),"",
              IF(V299="ALI",IF(AE299="L",7,IF(AE299="A",10,15)),
                 IF(V299="AIE",IF(AE299="L",5,IF(AE299="A",7,10)),
                    IF(V299="SE",IF(AE299="L",4,IF(AE299="A",5,7)),
                       IF(OR(V299="EE",V299="CE"),IF(AE299="L",3,IF(AE299="A",4,6)),""))))))))),
   IF('Dados da OS'!$D$8=Parâmetros!$B$5,
      IF(OR(AND(V299="INM",AG299&lt;&gt;"VF"),AND(AG299="VF",V299&lt;&gt;"INM")),"",
         IF(V299="INM",IF(AG299="VF",AF299*AB299,""),
            IF(V299="PE",4.6,
            IF(V299="AL",7,"")))),
   IF('Dados da OS'!$D$8=Parâmetros!$B$6,
      IF(V299="ALI",35,IF(V299="AIE",15,"")),""))
    )
)</f>
        <v/>
      </c>
      <c r="AJ299" s="82" t="str">
        <f t="shared" si="34"/>
        <v/>
      </c>
      <c r="AK299" s="84"/>
      <c r="AL299" s="85" t="s">
        <v>21</v>
      </c>
      <c r="AM299" s="86"/>
      <c r="AN299" s="85"/>
      <c r="AO299" s="87"/>
      <c r="AP299" s="85"/>
      <c r="AQ299" s="86"/>
      <c r="AR299" s="85"/>
    </row>
    <row r="300" spans="1:44" ht="15.75" customHeight="1">
      <c r="A300" s="54"/>
      <c r="B300" s="100"/>
      <c r="C300" s="55"/>
      <c r="D300" s="55"/>
      <c r="E300" s="56"/>
      <c r="F300" s="55"/>
      <c r="G300" s="56"/>
      <c r="H300" s="55"/>
      <c r="I300" s="64"/>
      <c r="J300" s="57" t="str">
        <f t="shared" si="29"/>
        <v/>
      </c>
      <c r="K300" s="57" t="str">
        <f t="shared" si="30"/>
        <v/>
      </c>
      <c r="L300" s="57" t="str">
        <f xml:space="preserve">
IF(OR('Dados da OS'!$D$8=Parâmetros!$B$3,'Dados da OS'!$D$8=Parâmetros!$B$4),
  IF(OR(ISBLANK(D300),ISBLANK(F300)),
     IF(OR(B300="ALI",B300="AIE"),"L",IF(ISBLANK(B300),"","A")),
     IF(B300="EE",IF(F300&gt;=3,IF(D300&gt;=5,"H","A"),
     IF(F300&gt;=2,IF(D300&gt;=16,"H",IF(D300&lt;=4,"L","A")),IF(D300&lt;=15,"L","A"))),
     IF(OR(B300="SE",B300="CE"),IF(F300&gt;=4,IF(D300&gt;=6,"H","A"),IF(F300&gt;=2,IF(D300&gt;=20,"H",IF(D300&lt;=5,"L","A")),IF(D300&lt;=19,"L","A"))),
     IF(OR(B300="ALI",B300="AIE"),IF(F300&gt;=6,IF(D300&gt;=20,"H","A"),IF(F300&gt;=2,IF(D300&gt;=51,"H",IF(D300&lt;=19,"L","A")),IF(D300&lt;=50,"L","A"))))))),
IF('Dados da OS'!$D$8=Parâmetros!$B$6,"Indicativa",
IF('Dados da OS'!$D$8=Parâmetros!$B$5,"PFS","")))</f>
        <v/>
      </c>
      <c r="M300" s="57">
        <f>IFERROR(VLOOKUP(C300,'Fatores de Impacto e INMs'!$A$3:$D$32,3,0),1)</f>
        <v>1</v>
      </c>
      <c r="N300" s="57">
        <f>IFERROR(VLOOKUP(C300,'Fatores de Impacto e INMs'!$A$3:$E$32,5,0),1)</f>
        <v>1</v>
      </c>
      <c r="O300" s="63" t="str">
        <f xml:space="preserve">
IF(OR('Dados da OS'!$D$8="Selecione o tipo da contagem",ISBLANK('Dados da OS'!$D$8),B300="INM",B300="N/A",ISBLANK(B300),ISBLANK(C300),N300="VF"),"-",
   IF('Dados da OS'!$D$8=Parâmetros!$B$3,
      IF(OR(ISBLANK(D300),ISBLANK(F300)),"-",
         IF(L300="L","Baixa",IF(L300="A","Média",IF(L300="H","Alta","-")))),
      IF('Dados da OS'!$D$8=Parâmetros!$B$4,
         IF(OR(B300="ALI",B300="AIE"),"Baixa",IF(OR(B300="EE",B300="SE",B300="CE"),"Média","-")),
         IF(OR('Dados da OS'!$D$8=Parâmetros!$B$5,'Dados da OS'!$D$8=Parâmetros!$B$6),"-"))))</f>
        <v>-</v>
      </c>
      <c r="P300" s="59" t="str">
        <f xml:space="preserve">
IF(OR(ISBLANK(B300),ISBLANK(C300),B300="N/A",ISBLANK('Dados da OS'!$D$8)),"",
   IF(OR('Dados da OS'!$D$8=Parâmetros!$B$3,'Dados da OS'!$D$8=Parâmetros!$B$4),
      IF(OR(AND(B300="INM",N300&lt;&gt;"VF"),AND(N300="VF",B300&lt;&gt;"INM")),"",
        IF(AND(B300="INM",N300="VF"),IF(ISBLANK(H300),"",M300*H300),
        IF('Dados da OS'!$D$8=Parâmetros!$B$4,
           IF(OR(B300="CE",B300="EE"),4,IF(B300="SE",5,IF(B300="ALI",7,IF(B300="AIE",5,"")))),
        IF('Dados da OS'!$D$8=Parâmetros!$B$3,
           IF(OR(ISBLANK(D300),ISBLANK(F300)),"",
              IF(B300="ALI",IF(L300="L",7,IF(L300="A",10,15)),
                 IF(B300="AIE",IF(L300="L",5,IF(L300="A",7,10)),
                    IF(B300="SE",IF(L300="L",4,IF(L300="A",5,7)),
                       IF(OR(B300="EE",B300="CE"),IF(L300="L",3,IF(L300="A",4,6)),""))))))))),
   IF('Dados da OS'!$D$8=Parâmetros!$B$5,
      IF(OR(AND(B300="INM",N300&lt;&gt;"VF"),AND(N300="VF",B300&lt;&gt;"INM")),"",
         IF(B300="INM",IF(N300="VF",M300*H300,""),
            IF(B300="PE",4.6,
            IF(B300="AL",7,"")))),
   IF('Dados da OS'!$D$8=Parâmetros!$B$6,
      IF(B300="ALI",35,IF(B300="AIE",15,"")),""))
    )
)</f>
        <v/>
      </c>
      <c r="Q300" s="60" t="str">
        <f t="shared" si="31"/>
        <v/>
      </c>
      <c r="R300" s="61"/>
      <c r="S300" s="62"/>
      <c r="T300" s="80" t="s">
        <v>21</v>
      </c>
      <c r="U300" s="81"/>
      <c r="V300" s="99"/>
      <c r="W300" s="55"/>
      <c r="X300" s="55"/>
      <c r="Y300" s="56"/>
      <c r="Z300" s="55"/>
      <c r="AA300" s="56"/>
      <c r="AB300" s="55"/>
      <c r="AC300" s="57" t="str">
        <f t="shared" si="32"/>
        <v/>
      </c>
      <c r="AD300" s="57" t="str">
        <f t="shared" si="33"/>
        <v/>
      </c>
      <c r="AE300" s="57" t="str">
        <f xml:space="preserve">
IF(OR('Dados da OS'!$D$8=Parâmetros!$B$3,'Dados da OS'!$D$8=Parâmetros!$B$4),
  IF(OR(ISBLANK(X300),ISBLANK(Z300)),
     IF(OR(V300="ALI",V300="AIE"),"L",IF(ISBLANK(V300),"","A")),
     IF(V300="EE",IF(Z300&gt;=3,IF(X300&gt;=5,"H","A"),
     IF(Z300&gt;=2,IF(X300&gt;=16,"H",IF(X300&lt;=4,"L","A")),IF(X300&lt;=15,"L","A"))),
     IF(OR(V300="SE",V300="CE"),IF(Z300&gt;=4,IF(X300&gt;=6,"H","A"),IF(Z300&gt;=2,IF(X300&gt;=20,"H",IF(X300&lt;=5,"L","A")),IF(X300&lt;=19,"L","A"))),
     IF(OR(V300="ALI",V300="AIE"),IF(Z300&gt;=6,IF(X300&gt;=20,"H","A"),IF(Z300&gt;=2,IF(X300&gt;=51,"H",IF(X300&lt;=19,"L","A")),IF(X300&lt;=50,"L","A"))))))),
IF('Dados da OS'!$D$8=Parâmetros!$B$6,"Indicativa",
IF('Dados da OS'!$D$8=Parâmetros!$B$5,"PFS","")))</f>
        <v/>
      </c>
      <c r="AF300" s="57">
        <f>IFERROR(VLOOKUP(W300,'Fatores de Impacto e INMs'!$A$3:$D$32,3,0),1)</f>
        <v>1</v>
      </c>
      <c r="AG300" s="57">
        <f>IFERROR(VLOOKUP(W300,'Fatores de Impacto e INMs'!$A$3:$E$32,5,0),1)</f>
        <v>1</v>
      </c>
      <c r="AH300" s="82" t="str">
        <f xml:space="preserve">
IF(OR('Dados da OS'!$D$8="Selecione o tipo da contagem",ISBLANK('Dados da OS'!$D$8),V300="INM",V300="N/A",ISBLANK(V300),ISBLANK(W300),AG300="VF"),"-",
   IF('Dados da OS'!$D$8=Parâmetros!$B$3,
      IF(OR(ISBLANK(X300),ISBLANK(Z300)),"-",
         IF(AE300="L","Baixa",IF(AE300="A","Média",IF(AE300="H","Alta","-")))),
      IF('Dados da OS'!$D$8=Parâmetros!$B$4,
         IF(OR(V300="ALI",V300="AIE"),"Baixa",IF(OR(V300="EE",V300="SE",V300="CE"),"Média","-")),
         IF(OR('Dados da OS'!$D$8=Parâmetros!$B$5,'Dados da OS'!$D$8=Parâmetros!$B$6),"-"))))</f>
        <v>-</v>
      </c>
      <c r="AI300" s="83" t="str">
        <f xml:space="preserve">
IF(OR(ISBLANK(V300),ISBLANK(U300),ISBLANK(W300),V300="N/A",ISBLANK('Dados da OS'!$D$8)),"",
   IF(OR('Dados da OS'!$D$8=Parâmetros!$B$3,'Dados da OS'!$D$8=Parâmetros!$B$4),
      IF(OR(AND(V300="INM",AG300&lt;&gt;"VF"),AND(AG300="VF",V300&lt;&gt;"INM")),"",
        IF(AND(V300="INM",AG300="VF"),IF(ISBLANK(AB300),"",AF300*AB300),
        IF('Dados da OS'!$D$8=Parâmetros!$B$4,
           IF(OR(V300="CE",V300="EE"),4,IF(V300="SE",5,IF(V300="ALI",7,IF(V300="AIE",5,"")))),
        IF('Dados da OS'!$D$8=Parâmetros!$B$3,
           IF(OR(ISBLANK(X300),ISBLANK(Z300)),"",
              IF(V300="ALI",IF(AE300="L",7,IF(AE300="A",10,15)),
                 IF(V300="AIE",IF(AE300="L",5,IF(AE300="A",7,10)),
                    IF(V300="SE",IF(AE300="L",4,IF(AE300="A",5,7)),
                       IF(OR(V300="EE",V300="CE"),IF(AE300="L",3,IF(AE300="A",4,6)),""))))))))),
   IF('Dados da OS'!$D$8=Parâmetros!$B$5,
      IF(OR(AND(V300="INM",AG300&lt;&gt;"VF"),AND(AG300="VF",V300&lt;&gt;"INM")),"",
         IF(V300="INM",IF(AG300="VF",AF300*AB300,""),
            IF(V300="PE",4.6,
            IF(V300="AL",7,"")))),
   IF('Dados da OS'!$D$8=Parâmetros!$B$6,
      IF(V300="ALI",35,IF(V300="AIE",15,"")),""))
    )
)</f>
        <v/>
      </c>
      <c r="AJ300" s="82" t="str">
        <f t="shared" si="34"/>
        <v/>
      </c>
      <c r="AK300" s="84"/>
      <c r="AL300" s="85" t="s">
        <v>21</v>
      </c>
      <c r="AM300" s="86"/>
      <c r="AN300" s="85"/>
      <c r="AO300" s="87"/>
      <c r="AP300" s="85"/>
      <c r="AQ300" s="86"/>
      <c r="AR300" s="85"/>
    </row>
    <row r="301" spans="1:44" ht="15.75" customHeight="1">
      <c r="A301" s="54"/>
      <c r="B301" s="100"/>
      <c r="C301" s="55"/>
      <c r="D301" s="55"/>
      <c r="E301" s="56"/>
      <c r="F301" s="55"/>
      <c r="G301" s="56"/>
      <c r="H301" s="55"/>
      <c r="I301" s="64"/>
      <c r="J301" s="57" t="str">
        <f t="shared" si="29"/>
        <v/>
      </c>
      <c r="K301" s="57" t="str">
        <f t="shared" si="30"/>
        <v/>
      </c>
      <c r="L301" s="57" t="str">
        <f xml:space="preserve">
IF(OR('Dados da OS'!$D$8=Parâmetros!$B$3,'Dados da OS'!$D$8=Parâmetros!$B$4),
  IF(OR(ISBLANK(D301),ISBLANK(F301)),
     IF(OR(B301="ALI",B301="AIE"),"L",IF(ISBLANK(B301),"","A")),
     IF(B301="EE",IF(F301&gt;=3,IF(D301&gt;=5,"H","A"),
     IF(F301&gt;=2,IF(D301&gt;=16,"H",IF(D301&lt;=4,"L","A")),IF(D301&lt;=15,"L","A"))),
     IF(OR(B301="SE",B301="CE"),IF(F301&gt;=4,IF(D301&gt;=6,"H","A"),IF(F301&gt;=2,IF(D301&gt;=20,"H",IF(D301&lt;=5,"L","A")),IF(D301&lt;=19,"L","A"))),
     IF(OR(B301="ALI",B301="AIE"),IF(F301&gt;=6,IF(D301&gt;=20,"H","A"),IF(F301&gt;=2,IF(D301&gt;=51,"H",IF(D301&lt;=19,"L","A")),IF(D301&lt;=50,"L","A"))))))),
IF('Dados da OS'!$D$8=Parâmetros!$B$6,"Indicativa",
IF('Dados da OS'!$D$8=Parâmetros!$B$5,"PFS","")))</f>
        <v/>
      </c>
      <c r="M301" s="57">
        <f>IFERROR(VLOOKUP(C301,'Fatores de Impacto e INMs'!$A$3:$D$32,3,0),1)</f>
        <v>1</v>
      </c>
      <c r="N301" s="57">
        <f>IFERROR(VLOOKUP(C301,'Fatores de Impacto e INMs'!$A$3:$E$32,5,0),1)</f>
        <v>1</v>
      </c>
      <c r="O301" s="63" t="str">
        <f xml:space="preserve">
IF(OR('Dados da OS'!$D$8="Selecione o tipo da contagem",ISBLANK('Dados da OS'!$D$8),B301="INM",B301="N/A",ISBLANK(B301),ISBLANK(C301),N301="VF"),"-",
   IF('Dados da OS'!$D$8=Parâmetros!$B$3,
      IF(OR(ISBLANK(D301),ISBLANK(F301)),"-",
         IF(L301="L","Baixa",IF(L301="A","Média",IF(L301="H","Alta","-")))),
      IF('Dados da OS'!$D$8=Parâmetros!$B$4,
         IF(OR(B301="ALI",B301="AIE"),"Baixa",IF(OR(B301="EE",B301="SE",B301="CE"),"Média","-")),
         IF(OR('Dados da OS'!$D$8=Parâmetros!$B$5,'Dados da OS'!$D$8=Parâmetros!$B$6),"-"))))</f>
        <v>-</v>
      </c>
      <c r="P301" s="59" t="str">
        <f xml:space="preserve">
IF(OR(ISBLANK(B301),ISBLANK(C301),B301="N/A",ISBLANK('Dados da OS'!$D$8)),"",
   IF(OR('Dados da OS'!$D$8=Parâmetros!$B$3,'Dados da OS'!$D$8=Parâmetros!$B$4),
      IF(OR(AND(B301="INM",N301&lt;&gt;"VF"),AND(N301="VF",B301&lt;&gt;"INM")),"",
        IF(AND(B301="INM",N301="VF"),IF(ISBLANK(H301),"",M301*H301),
        IF('Dados da OS'!$D$8=Parâmetros!$B$4,
           IF(OR(B301="CE",B301="EE"),4,IF(B301="SE",5,IF(B301="ALI",7,IF(B301="AIE",5,"")))),
        IF('Dados da OS'!$D$8=Parâmetros!$B$3,
           IF(OR(ISBLANK(D301),ISBLANK(F301)),"",
              IF(B301="ALI",IF(L301="L",7,IF(L301="A",10,15)),
                 IF(B301="AIE",IF(L301="L",5,IF(L301="A",7,10)),
                    IF(B301="SE",IF(L301="L",4,IF(L301="A",5,7)),
                       IF(OR(B301="EE",B301="CE"),IF(L301="L",3,IF(L301="A",4,6)),""))))))))),
   IF('Dados da OS'!$D$8=Parâmetros!$B$5,
      IF(OR(AND(B301="INM",N301&lt;&gt;"VF"),AND(N301="VF",B301&lt;&gt;"INM")),"",
         IF(B301="INM",IF(N301="VF",M301*H301,""),
            IF(B301="PE",4.6,
            IF(B301="AL",7,"")))),
   IF('Dados da OS'!$D$8=Parâmetros!$B$6,
      IF(B301="ALI",35,IF(B301="AIE",15,"")),""))
    )
)</f>
        <v/>
      </c>
      <c r="Q301" s="60" t="str">
        <f t="shared" si="31"/>
        <v/>
      </c>
      <c r="R301" s="61"/>
      <c r="S301" s="62"/>
      <c r="T301" s="80" t="s">
        <v>21</v>
      </c>
      <c r="U301" s="81"/>
      <c r="V301" s="99"/>
      <c r="W301" s="55"/>
      <c r="X301" s="55"/>
      <c r="Y301" s="56"/>
      <c r="Z301" s="55"/>
      <c r="AA301" s="56"/>
      <c r="AB301" s="55"/>
      <c r="AC301" s="57" t="str">
        <f t="shared" si="32"/>
        <v/>
      </c>
      <c r="AD301" s="57" t="str">
        <f t="shared" si="33"/>
        <v/>
      </c>
      <c r="AE301" s="57" t="str">
        <f xml:space="preserve">
IF(OR('Dados da OS'!$D$8=Parâmetros!$B$3,'Dados da OS'!$D$8=Parâmetros!$B$4),
  IF(OR(ISBLANK(X301),ISBLANK(Z301)),
     IF(OR(V301="ALI",V301="AIE"),"L",IF(ISBLANK(V301),"","A")),
     IF(V301="EE",IF(Z301&gt;=3,IF(X301&gt;=5,"H","A"),
     IF(Z301&gt;=2,IF(X301&gt;=16,"H",IF(X301&lt;=4,"L","A")),IF(X301&lt;=15,"L","A"))),
     IF(OR(V301="SE",V301="CE"),IF(Z301&gt;=4,IF(X301&gt;=6,"H","A"),IF(Z301&gt;=2,IF(X301&gt;=20,"H",IF(X301&lt;=5,"L","A")),IF(X301&lt;=19,"L","A"))),
     IF(OR(V301="ALI",V301="AIE"),IF(Z301&gt;=6,IF(X301&gt;=20,"H","A"),IF(Z301&gt;=2,IF(X301&gt;=51,"H",IF(X301&lt;=19,"L","A")),IF(X301&lt;=50,"L","A"))))))),
IF('Dados da OS'!$D$8=Parâmetros!$B$6,"Indicativa",
IF('Dados da OS'!$D$8=Parâmetros!$B$5,"PFS","")))</f>
        <v/>
      </c>
      <c r="AF301" s="57">
        <f>IFERROR(VLOOKUP(W301,'Fatores de Impacto e INMs'!$A$3:$D$32,3,0),1)</f>
        <v>1</v>
      </c>
      <c r="AG301" s="57">
        <f>IFERROR(VLOOKUP(W301,'Fatores de Impacto e INMs'!$A$3:$E$32,5,0),1)</f>
        <v>1</v>
      </c>
      <c r="AH301" s="82" t="str">
        <f xml:space="preserve">
IF(OR('Dados da OS'!$D$8="Selecione o tipo da contagem",ISBLANK('Dados da OS'!$D$8),V301="INM",V301="N/A",ISBLANK(V301),ISBLANK(W301),AG301="VF"),"-",
   IF('Dados da OS'!$D$8=Parâmetros!$B$3,
      IF(OR(ISBLANK(X301),ISBLANK(Z301)),"-",
         IF(AE301="L","Baixa",IF(AE301="A","Média",IF(AE301="H","Alta","-")))),
      IF('Dados da OS'!$D$8=Parâmetros!$B$4,
         IF(OR(V301="ALI",V301="AIE"),"Baixa",IF(OR(V301="EE",V301="SE",V301="CE"),"Média","-")),
         IF(OR('Dados da OS'!$D$8=Parâmetros!$B$5,'Dados da OS'!$D$8=Parâmetros!$B$6),"-"))))</f>
        <v>-</v>
      </c>
      <c r="AI301" s="83" t="str">
        <f xml:space="preserve">
IF(OR(ISBLANK(V301),ISBLANK(U301),ISBLANK(W301),V301="N/A",ISBLANK('Dados da OS'!$D$8)),"",
   IF(OR('Dados da OS'!$D$8=Parâmetros!$B$3,'Dados da OS'!$D$8=Parâmetros!$B$4),
      IF(OR(AND(V301="INM",AG301&lt;&gt;"VF"),AND(AG301="VF",V301&lt;&gt;"INM")),"",
        IF(AND(V301="INM",AG301="VF"),IF(ISBLANK(AB301),"",AF301*AB301),
        IF('Dados da OS'!$D$8=Parâmetros!$B$4,
           IF(OR(V301="CE",V301="EE"),4,IF(V301="SE",5,IF(V301="ALI",7,IF(V301="AIE",5,"")))),
        IF('Dados da OS'!$D$8=Parâmetros!$B$3,
           IF(OR(ISBLANK(X301),ISBLANK(Z301)),"",
              IF(V301="ALI",IF(AE301="L",7,IF(AE301="A",10,15)),
                 IF(V301="AIE",IF(AE301="L",5,IF(AE301="A",7,10)),
                    IF(V301="SE",IF(AE301="L",4,IF(AE301="A",5,7)),
                       IF(OR(V301="EE",V301="CE"),IF(AE301="L",3,IF(AE301="A",4,6)),""))))))))),
   IF('Dados da OS'!$D$8=Parâmetros!$B$5,
      IF(OR(AND(V301="INM",AG301&lt;&gt;"VF"),AND(AG301="VF",V301&lt;&gt;"INM")),"",
         IF(V301="INM",IF(AG301="VF",AF301*AB301,""),
            IF(V301="PE",4.6,
            IF(V301="AL",7,"")))),
   IF('Dados da OS'!$D$8=Parâmetros!$B$6,
      IF(V301="ALI",35,IF(V301="AIE",15,"")),""))
    )
)</f>
        <v/>
      </c>
      <c r="AJ301" s="82" t="str">
        <f t="shared" si="34"/>
        <v/>
      </c>
      <c r="AK301" s="84"/>
      <c r="AL301" s="85" t="s">
        <v>21</v>
      </c>
      <c r="AM301" s="86"/>
      <c r="AN301" s="85"/>
      <c r="AO301" s="87"/>
      <c r="AP301" s="85"/>
      <c r="AQ301" s="86"/>
      <c r="AR301" s="85"/>
    </row>
    <row r="302" spans="1:44" ht="15.75" customHeight="1">
      <c r="A302" s="54"/>
      <c r="B302" s="100"/>
      <c r="C302" s="55"/>
      <c r="D302" s="55"/>
      <c r="E302" s="56"/>
      <c r="F302" s="55"/>
      <c r="G302" s="56"/>
      <c r="H302" s="55"/>
      <c r="I302" s="64"/>
      <c r="J302" s="57" t="str">
        <f t="shared" si="29"/>
        <v/>
      </c>
      <c r="K302" s="57" t="str">
        <f t="shared" si="30"/>
        <v/>
      </c>
      <c r="L302" s="57" t="str">
        <f xml:space="preserve">
IF(OR('Dados da OS'!$D$8=Parâmetros!$B$3,'Dados da OS'!$D$8=Parâmetros!$B$4),
  IF(OR(ISBLANK(D302),ISBLANK(F302)),
     IF(OR(B302="ALI",B302="AIE"),"L",IF(ISBLANK(B302),"","A")),
     IF(B302="EE",IF(F302&gt;=3,IF(D302&gt;=5,"H","A"),
     IF(F302&gt;=2,IF(D302&gt;=16,"H",IF(D302&lt;=4,"L","A")),IF(D302&lt;=15,"L","A"))),
     IF(OR(B302="SE",B302="CE"),IF(F302&gt;=4,IF(D302&gt;=6,"H","A"),IF(F302&gt;=2,IF(D302&gt;=20,"H",IF(D302&lt;=5,"L","A")),IF(D302&lt;=19,"L","A"))),
     IF(OR(B302="ALI",B302="AIE"),IF(F302&gt;=6,IF(D302&gt;=20,"H","A"),IF(F302&gt;=2,IF(D302&gt;=51,"H",IF(D302&lt;=19,"L","A")),IF(D302&lt;=50,"L","A"))))))),
IF('Dados da OS'!$D$8=Parâmetros!$B$6,"Indicativa",
IF('Dados da OS'!$D$8=Parâmetros!$B$5,"PFS","")))</f>
        <v/>
      </c>
      <c r="M302" s="57">
        <f>IFERROR(VLOOKUP(C302,'Fatores de Impacto e INMs'!$A$3:$D$32,3,0),1)</f>
        <v>1</v>
      </c>
      <c r="N302" s="57">
        <f>IFERROR(VLOOKUP(C302,'Fatores de Impacto e INMs'!$A$3:$E$32,5,0),1)</f>
        <v>1</v>
      </c>
      <c r="O302" s="63" t="str">
        <f xml:space="preserve">
IF(OR('Dados da OS'!$D$8="Selecione o tipo da contagem",ISBLANK('Dados da OS'!$D$8),B302="INM",B302="N/A",ISBLANK(B302),ISBLANK(C302),N302="VF"),"-",
   IF('Dados da OS'!$D$8=Parâmetros!$B$3,
      IF(OR(ISBLANK(D302),ISBLANK(F302)),"-",
         IF(L302="L","Baixa",IF(L302="A","Média",IF(L302="H","Alta","-")))),
      IF('Dados da OS'!$D$8=Parâmetros!$B$4,
         IF(OR(B302="ALI",B302="AIE"),"Baixa",IF(OR(B302="EE",B302="SE",B302="CE"),"Média","-")),
         IF(OR('Dados da OS'!$D$8=Parâmetros!$B$5,'Dados da OS'!$D$8=Parâmetros!$B$6),"-"))))</f>
        <v>-</v>
      </c>
      <c r="P302" s="59" t="str">
        <f xml:space="preserve">
IF(OR(ISBLANK(B302),ISBLANK(C302),B302="N/A",ISBLANK('Dados da OS'!$D$8)),"",
   IF(OR('Dados da OS'!$D$8=Parâmetros!$B$3,'Dados da OS'!$D$8=Parâmetros!$B$4),
      IF(OR(AND(B302="INM",N302&lt;&gt;"VF"),AND(N302="VF",B302&lt;&gt;"INM")),"",
        IF(AND(B302="INM",N302="VF"),IF(ISBLANK(H302),"",M302*H302),
        IF('Dados da OS'!$D$8=Parâmetros!$B$4,
           IF(OR(B302="CE",B302="EE"),4,IF(B302="SE",5,IF(B302="ALI",7,IF(B302="AIE",5,"")))),
        IF('Dados da OS'!$D$8=Parâmetros!$B$3,
           IF(OR(ISBLANK(D302),ISBLANK(F302)),"",
              IF(B302="ALI",IF(L302="L",7,IF(L302="A",10,15)),
                 IF(B302="AIE",IF(L302="L",5,IF(L302="A",7,10)),
                    IF(B302="SE",IF(L302="L",4,IF(L302="A",5,7)),
                       IF(OR(B302="EE",B302="CE"),IF(L302="L",3,IF(L302="A",4,6)),""))))))))),
   IF('Dados da OS'!$D$8=Parâmetros!$B$5,
      IF(OR(AND(B302="INM",N302&lt;&gt;"VF"),AND(N302="VF",B302&lt;&gt;"INM")),"",
         IF(B302="INM",IF(N302="VF",M302*H302,""),
            IF(B302="PE",4.6,
            IF(B302="AL",7,"")))),
   IF('Dados da OS'!$D$8=Parâmetros!$B$6,
      IF(B302="ALI",35,IF(B302="AIE",15,"")),""))
    )
)</f>
        <v/>
      </c>
      <c r="Q302" s="60" t="str">
        <f t="shared" si="31"/>
        <v/>
      </c>
      <c r="R302" s="61"/>
      <c r="S302" s="62"/>
      <c r="T302" s="80" t="s">
        <v>21</v>
      </c>
      <c r="U302" s="81"/>
      <c r="V302" s="99"/>
      <c r="W302" s="55"/>
      <c r="X302" s="55"/>
      <c r="Y302" s="56"/>
      <c r="Z302" s="55"/>
      <c r="AA302" s="56"/>
      <c r="AB302" s="55"/>
      <c r="AC302" s="57" t="str">
        <f t="shared" si="32"/>
        <v/>
      </c>
      <c r="AD302" s="57" t="str">
        <f t="shared" si="33"/>
        <v/>
      </c>
      <c r="AE302" s="57" t="str">
        <f xml:space="preserve">
IF(OR('Dados da OS'!$D$8=Parâmetros!$B$3,'Dados da OS'!$D$8=Parâmetros!$B$4),
  IF(OR(ISBLANK(X302),ISBLANK(Z302)),
     IF(OR(V302="ALI",V302="AIE"),"L",IF(ISBLANK(V302),"","A")),
     IF(V302="EE",IF(Z302&gt;=3,IF(X302&gt;=5,"H","A"),
     IF(Z302&gt;=2,IF(X302&gt;=16,"H",IF(X302&lt;=4,"L","A")),IF(X302&lt;=15,"L","A"))),
     IF(OR(V302="SE",V302="CE"),IF(Z302&gt;=4,IF(X302&gt;=6,"H","A"),IF(Z302&gt;=2,IF(X302&gt;=20,"H",IF(X302&lt;=5,"L","A")),IF(X302&lt;=19,"L","A"))),
     IF(OR(V302="ALI",V302="AIE"),IF(Z302&gt;=6,IF(X302&gt;=20,"H","A"),IF(Z302&gt;=2,IF(X302&gt;=51,"H",IF(X302&lt;=19,"L","A")),IF(X302&lt;=50,"L","A"))))))),
IF('Dados da OS'!$D$8=Parâmetros!$B$6,"Indicativa",
IF('Dados da OS'!$D$8=Parâmetros!$B$5,"PFS","")))</f>
        <v/>
      </c>
      <c r="AF302" s="57">
        <f>IFERROR(VLOOKUP(W302,'Fatores de Impacto e INMs'!$A$3:$D$32,3,0),1)</f>
        <v>1</v>
      </c>
      <c r="AG302" s="57">
        <f>IFERROR(VLOOKUP(W302,'Fatores de Impacto e INMs'!$A$3:$E$32,5,0),1)</f>
        <v>1</v>
      </c>
      <c r="AH302" s="82" t="str">
        <f xml:space="preserve">
IF(OR('Dados da OS'!$D$8="Selecione o tipo da contagem",ISBLANK('Dados da OS'!$D$8),V302="INM",V302="N/A",ISBLANK(V302),ISBLANK(W302),AG302="VF"),"-",
   IF('Dados da OS'!$D$8=Parâmetros!$B$3,
      IF(OR(ISBLANK(X302),ISBLANK(Z302)),"-",
         IF(AE302="L","Baixa",IF(AE302="A","Média",IF(AE302="H","Alta","-")))),
      IF('Dados da OS'!$D$8=Parâmetros!$B$4,
         IF(OR(V302="ALI",V302="AIE"),"Baixa",IF(OR(V302="EE",V302="SE",V302="CE"),"Média","-")),
         IF(OR('Dados da OS'!$D$8=Parâmetros!$B$5,'Dados da OS'!$D$8=Parâmetros!$B$6),"-"))))</f>
        <v>-</v>
      </c>
      <c r="AI302" s="83" t="str">
        <f xml:space="preserve">
IF(OR(ISBLANK(V302),ISBLANK(U302),ISBLANK(W302),V302="N/A",ISBLANK('Dados da OS'!$D$8)),"",
   IF(OR('Dados da OS'!$D$8=Parâmetros!$B$3,'Dados da OS'!$D$8=Parâmetros!$B$4),
      IF(OR(AND(V302="INM",AG302&lt;&gt;"VF"),AND(AG302="VF",V302&lt;&gt;"INM")),"",
        IF(AND(V302="INM",AG302="VF"),IF(ISBLANK(AB302),"",AF302*AB302),
        IF('Dados da OS'!$D$8=Parâmetros!$B$4,
           IF(OR(V302="CE",V302="EE"),4,IF(V302="SE",5,IF(V302="ALI",7,IF(V302="AIE",5,"")))),
        IF('Dados da OS'!$D$8=Parâmetros!$B$3,
           IF(OR(ISBLANK(X302),ISBLANK(Z302)),"",
              IF(V302="ALI",IF(AE302="L",7,IF(AE302="A",10,15)),
                 IF(V302="AIE",IF(AE302="L",5,IF(AE302="A",7,10)),
                    IF(V302="SE",IF(AE302="L",4,IF(AE302="A",5,7)),
                       IF(OR(V302="EE",V302="CE"),IF(AE302="L",3,IF(AE302="A",4,6)),""))))))))),
   IF('Dados da OS'!$D$8=Parâmetros!$B$5,
      IF(OR(AND(V302="INM",AG302&lt;&gt;"VF"),AND(AG302="VF",V302&lt;&gt;"INM")),"",
         IF(V302="INM",IF(AG302="VF",AF302*AB302,""),
            IF(V302="PE",4.6,
            IF(V302="AL",7,"")))),
   IF('Dados da OS'!$D$8=Parâmetros!$B$6,
      IF(V302="ALI",35,IF(V302="AIE",15,"")),""))
    )
)</f>
        <v/>
      </c>
      <c r="AJ302" s="82" t="str">
        <f t="shared" si="34"/>
        <v/>
      </c>
      <c r="AK302" s="84"/>
      <c r="AL302" s="85" t="s">
        <v>21</v>
      </c>
      <c r="AM302" s="86"/>
      <c r="AN302" s="85"/>
      <c r="AO302" s="87"/>
      <c r="AP302" s="85"/>
      <c r="AQ302" s="86"/>
      <c r="AR302" s="85"/>
    </row>
    <row r="303" spans="1:44" ht="15.75" customHeight="1">
      <c r="A303" s="54"/>
      <c r="B303" s="100"/>
      <c r="C303" s="55"/>
      <c r="D303" s="55"/>
      <c r="E303" s="56"/>
      <c r="F303" s="55"/>
      <c r="G303" s="56"/>
      <c r="H303" s="55"/>
      <c r="I303" s="64"/>
      <c r="J303" s="57" t="str">
        <f t="shared" si="29"/>
        <v/>
      </c>
      <c r="K303" s="57" t="str">
        <f t="shared" si="30"/>
        <v/>
      </c>
      <c r="L303" s="57" t="str">
        <f xml:space="preserve">
IF(OR('Dados da OS'!$D$8=Parâmetros!$B$3,'Dados da OS'!$D$8=Parâmetros!$B$4),
  IF(OR(ISBLANK(D303),ISBLANK(F303)),
     IF(OR(B303="ALI",B303="AIE"),"L",IF(ISBLANK(B303),"","A")),
     IF(B303="EE",IF(F303&gt;=3,IF(D303&gt;=5,"H","A"),
     IF(F303&gt;=2,IF(D303&gt;=16,"H",IF(D303&lt;=4,"L","A")),IF(D303&lt;=15,"L","A"))),
     IF(OR(B303="SE",B303="CE"),IF(F303&gt;=4,IF(D303&gt;=6,"H","A"),IF(F303&gt;=2,IF(D303&gt;=20,"H",IF(D303&lt;=5,"L","A")),IF(D303&lt;=19,"L","A"))),
     IF(OR(B303="ALI",B303="AIE"),IF(F303&gt;=6,IF(D303&gt;=20,"H","A"),IF(F303&gt;=2,IF(D303&gt;=51,"H",IF(D303&lt;=19,"L","A")),IF(D303&lt;=50,"L","A"))))))),
IF('Dados da OS'!$D$8=Parâmetros!$B$6,"Indicativa",
IF('Dados da OS'!$D$8=Parâmetros!$B$5,"PFS","")))</f>
        <v/>
      </c>
      <c r="M303" s="57">
        <f>IFERROR(VLOOKUP(C303,'Fatores de Impacto e INMs'!$A$3:$D$32,3,0),1)</f>
        <v>1</v>
      </c>
      <c r="N303" s="57">
        <f>IFERROR(VLOOKUP(C303,'Fatores de Impacto e INMs'!$A$3:$E$32,5,0),1)</f>
        <v>1</v>
      </c>
      <c r="O303" s="63" t="str">
        <f xml:space="preserve">
IF(OR('Dados da OS'!$D$8="Selecione o tipo da contagem",ISBLANK('Dados da OS'!$D$8),B303="INM",B303="N/A",ISBLANK(B303),ISBLANK(C303),N303="VF"),"-",
   IF('Dados da OS'!$D$8=Parâmetros!$B$3,
      IF(OR(ISBLANK(D303),ISBLANK(F303)),"-",
         IF(L303="L","Baixa",IF(L303="A","Média",IF(L303="H","Alta","-")))),
      IF('Dados da OS'!$D$8=Parâmetros!$B$4,
         IF(OR(B303="ALI",B303="AIE"),"Baixa",IF(OR(B303="EE",B303="SE",B303="CE"),"Média","-")),
         IF(OR('Dados da OS'!$D$8=Parâmetros!$B$5,'Dados da OS'!$D$8=Parâmetros!$B$6),"-"))))</f>
        <v>-</v>
      </c>
      <c r="P303" s="59" t="str">
        <f xml:space="preserve">
IF(OR(ISBLANK(B303),ISBLANK(C303),B303="N/A",ISBLANK('Dados da OS'!$D$8)),"",
   IF(OR('Dados da OS'!$D$8=Parâmetros!$B$3,'Dados da OS'!$D$8=Parâmetros!$B$4),
      IF(OR(AND(B303="INM",N303&lt;&gt;"VF"),AND(N303="VF",B303&lt;&gt;"INM")),"",
        IF(AND(B303="INM",N303="VF"),IF(ISBLANK(H303),"",M303*H303),
        IF('Dados da OS'!$D$8=Parâmetros!$B$4,
           IF(OR(B303="CE",B303="EE"),4,IF(B303="SE",5,IF(B303="ALI",7,IF(B303="AIE",5,"")))),
        IF('Dados da OS'!$D$8=Parâmetros!$B$3,
           IF(OR(ISBLANK(D303),ISBLANK(F303)),"",
              IF(B303="ALI",IF(L303="L",7,IF(L303="A",10,15)),
                 IF(B303="AIE",IF(L303="L",5,IF(L303="A",7,10)),
                    IF(B303="SE",IF(L303="L",4,IF(L303="A",5,7)),
                       IF(OR(B303="EE",B303="CE"),IF(L303="L",3,IF(L303="A",4,6)),""))))))))),
   IF('Dados da OS'!$D$8=Parâmetros!$B$5,
      IF(OR(AND(B303="INM",N303&lt;&gt;"VF"),AND(N303="VF",B303&lt;&gt;"INM")),"",
         IF(B303="INM",IF(N303="VF",M303*H303,""),
            IF(B303="PE",4.6,
            IF(B303="AL",7,"")))),
   IF('Dados da OS'!$D$8=Parâmetros!$B$6,
      IF(B303="ALI",35,IF(B303="AIE",15,"")),""))
    )
)</f>
        <v/>
      </c>
      <c r="Q303" s="60" t="str">
        <f t="shared" si="31"/>
        <v/>
      </c>
      <c r="R303" s="61"/>
      <c r="S303" s="62"/>
      <c r="T303" s="80" t="s">
        <v>21</v>
      </c>
      <c r="U303" s="81"/>
      <c r="V303" s="99"/>
      <c r="W303" s="55"/>
      <c r="X303" s="55"/>
      <c r="Y303" s="56"/>
      <c r="Z303" s="55"/>
      <c r="AA303" s="56"/>
      <c r="AB303" s="55"/>
      <c r="AC303" s="57" t="str">
        <f t="shared" si="32"/>
        <v/>
      </c>
      <c r="AD303" s="57" t="str">
        <f t="shared" si="33"/>
        <v/>
      </c>
      <c r="AE303" s="57" t="str">
        <f xml:space="preserve">
IF(OR('Dados da OS'!$D$8=Parâmetros!$B$3,'Dados da OS'!$D$8=Parâmetros!$B$4),
  IF(OR(ISBLANK(X303),ISBLANK(Z303)),
     IF(OR(V303="ALI",V303="AIE"),"L",IF(ISBLANK(V303),"","A")),
     IF(V303="EE",IF(Z303&gt;=3,IF(X303&gt;=5,"H","A"),
     IF(Z303&gt;=2,IF(X303&gt;=16,"H",IF(X303&lt;=4,"L","A")),IF(X303&lt;=15,"L","A"))),
     IF(OR(V303="SE",V303="CE"),IF(Z303&gt;=4,IF(X303&gt;=6,"H","A"),IF(Z303&gt;=2,IF(X303&gt;=20,"H",IF(X303&lt;=5,"L","A")),IF(X303&lt;=19,"L","A"))),
     IF(OR(V303="ALI",V303="AIE"),IF(Z303&gt;=6,IF(X303&gt;=20,"H","A"),IF(Z303&gt;=2,IF(X303&gt;=51,"H",IF(X303&lt;=19,"L","A")),IF(X303&lt;=50,"L","A"))))))),
IF('Dados da OS'!$D$8=Parâmetros!$B$6,"Indicativa",
IF('Dados da OS'!$D$8=Parâmetros!$B$5,"PFS","")))</f>
        <v/>
      </c>
      <c r="AF303" s="57">
        <f>IFERROR(VLOOKUP(W303,'Fatores de Impacto e INMs'!$A$3:$D$32,3,0),1)</f>
        <v>1</v>
      </c>
      <c r="AG303" s="57">
        <f>IFERROR(VLOOKUP(W303,'Fatores de Impacto e INMs'!$A$3:$E$32,5,0),1)</f>
        <v>1</v>
      </c>
      <c r="AH303" s="82" t="str">
        <f xml:space="preserve">
IF(OR('Dados da OS'!$D$8="Selecione o tipo da contagem",ISBLANK('Dados da OS'!$D$8),V303="INM",V303="N/A",ISBLANK(V303),ISBLANK(W303),AG303="VF"),"-",
   IF('Dados da OS'!$D$8=Parâmetros!$B$3,
      IF(OR(ISBLANK(X303),ISBLANK(Z303)),"-",
         IF(AE303="L","Baixa",IF(AE303="A","Média",IF(AE303="H","Alta","-")))),
      IF('Dados da OS'!$D$8=Parâmetros!$B$4,
         IF(OR(V303="ALI",V303="AIE"),"Baixa",IF(OR(V303="EE",V303="SE",V303="CE"),"Média","-")),
         IF(OR('Dados da OS'!$D$8=Parâmetros!$B$5,'Dados da OS'!$D$8=Parâmetros!$B$6),"-"))))</f>
        <v>-</v>
      </c>
      <c r="AI303" s="83" t="str">
        <f xml:space="preserve">
IF(OR(ISBLANK(V303),ISBLANK(U303),ISBLANK(W303),V303="N/A",ISBLANK('Dados da OS'!$D$8)),"",
   IF(OR('Dados da OS'!$D$8=Parâmetros!$B$3,'Dados da OS'!$D$8=Parâmetros!$B$4),
      IF(OR(AND(V303="INM",AG303&lt;&gt;"VF"),AND(AG303="VF",V303&lt;&gt;"INM")),"",
        IF(AND(V303="INM",AG303="VF"),IF(ISBLANK(AB303),"",AF303*AB303),
        IF('Dados da OS'!$D$8=Parâmetros!$B$4,
           IF(OR(V303="CE",V303="EE"),4,IF(V303="SE",5,IF(V303="ALI",7,IF(V303="AIE",5,"")))),
        IF('Dados da OS'!$D$8=Parâmetros!$B$3,
           IF(OR(ISBLANK(X303),ISBLANK(Z303)),"",
              IF(V303="ALI",IF(AE303="L",7,IF(AE303="A",10,15)),
                 IF(V303="AIE",IF(AE303="L",5,IF(AE303="A",7,10)),
                    IF(V303="SE",IF(AE303="L",4,IF(AE303="A",5,7)),
                       IF(OR(V303="EE",V303="CE"),IF(AE303="L",3,IF(AE303="A",4,6)),""))))))))),
   IF('Dados da OS'!$D$8=Parâmetros!$B$5,
      IF(OR(AND(V303="INM",AG303&lt;&gt;"VF"),AND(AG303="VF",V303&lt;&gt;"INM")),"",
         IF(V303="INM",IF(AG303="VF",AF303*AB303,""),
            IF(V303="PE",4.6,
            IF(V303="AL",7,"")))),
   IF('Dados da OS'!$D$8=Parâmetros!$B$6,
      IF(V303="ALI",35,IF(V303="AIE",15,"")),""))
    )
)</f>
        <v/>
      </c>
      <c r="AJ303" s="82" t="str">
        <f t="shared" si="34"/>
        <v/>
      </c>
      <c r="AK303" s="84"/>
      <c r="AL303" s="85" t="s">
        <v>21</v>
      </c>
      <c r="AM303" s="86"/>
      <c r="AN303" s="85"/>
      <c r="AO303" s="87"/>
      <c r="AP303" s="85"/>
      <c r="AQ303" s="86"/>
      <c r="AR303" s="85"/>
    </row>
    <row r="304" spans="1:44" ht="15.75" customHeight="1">
      <c r="A304" s="54"/>
      <c r="B304" s="100"/>
      <c r="C304" s="55"/>
      <c r="D304" s="55"/>
      <c r="E304" s="56"/>
      <c r="F304" s="55"/>
      <c r="G304" s="56"/>
      <c r="H304" s="55"/>
      <c r="I304" s="64"/>
      <c r="J304" s="57" t="str">
        <f t="shared" si="29"/>
        <v/>
      </c>
      <c r="K304" s="57" t="str">
        <f t="shared" si="30"/>
        <v/>
      </c>
      <c r="L304" s="57" t="str">
        <f xml:space="preserve">
IF(OR('Dados da OS'!$D$8=Parâmetros!$B$3,'Dados da OS'!$D$8=Parâmetros!$B$4),
  IF(OR(ISBLANK(D304),ISBLANK(F304)),
     IF(OR(B304="ALI",B304="AIE"),"L",IF(ISBLANK(B304),"","A")),
     IF(B304="EE",IF(F304&gt;=3,IF(D304&gt;=5,"H","A"),
     IF(F304&gt;=2,IF(D304&gt;=16,"H",IF(D304&lt;=4,"L","A")),IF(D304&lt;=15,"L","A"))),
     IF(OR(B304="SE",B304="CE"),IF(F304&gt;=4,IF(D304&gt;=6,"H","A"),IF(F304&gt;=2,IF(D304&gt;=20,"H",IF(D304&lt;=5,"L","A")),IF(D304&lt;=19,"L","A"))),
     IF(OR(B304="ALI",B304="AIE"),IF(F304&gt;=6,IF(D304&gt;=20,"H","A"),IF(F304&gt;=2,IF(D304&gt;=51,"H",IF(D304&lt;=19,"L","A")),IF(D304&lt;=50,"L","A"))))))),
IF('Dados da OS'!$D$8=Parâmetros!$B$6,"Indicativa",
IF('Dados da OS'!$D$8=Parâmetros!$B$5,"PFS","")))</f>
        <v/>
      </c>
      <c r="M304" s="57">
        <f>IFERROR(VLOOKUP(C304,'Fatores de Impacto e INMs'!$A$3:$D$32,3,0),1)</f>
        <v>1</v>
      </c>
      <c r="N304" s="57">
        <f>IFERROR(VLOOKUP(C304,'Fatores de Impacto e INMs'!$A$3:$E$32,5,0),1)</f>
        <v>1</v>
      </c>
      <c r="O304" s="63" t="str">
        <f xml:space="preserve">
IF(OR('Dados da OS'!$D$8="Selecione o tipo da contagem",ISBLANK('Dados da OS'!$D$8),B304="INM",B304="N/A",ISBLANK(B304),ISBLANK(C304),N304="VF"),"-",
   IF('Dados da OS'!$D$8=Parâmetros!$B$3,
      IF(OR(ISBLANK(D304),ISBLANK(F304)),"-",
         IF(L304="L","Baixa",IF(L304="A","Média",IF(L304="H","Alta","-")))),
      IF('Dados da OS'!$D$8=Parâmetros!$B$4,
         IF(OR(B304="ALI",B304="AIE"),"Baixa",IF(OR(B304="EE",B304="SE",B304="CE"),"Média","-")),
         IF(OR('Dados da OS'!$D$8=Parâmetros!$B$5,'Dados da OS'!$D$8=Parâmetros!$B$6),"-"))))</f>
        <v>-</v>
      </c>
      <c r="P304" s="59" t="str">
        <f xml:space="preserve">
IF(OR(ISBLANK(B304),ISBLANK(C304),B304="N/A",ISBLANK('Dados da OS'!$D$8)),"",
   IF(OR('Dados da OS'!$D$8=Parâmetros!$B$3,'Dados da OS'!$D$8=Parâmetros!$B$4),
      IF(OR(AND(B304="INM",N304&lt;&gt;"VF"),AND(N304="VF",B304&lt;&gt;"INM")),"",
        IF(AND(B304="INM",N304="VF"),IF(ISBLANK(H304),"",M304*H304),
        IF('Dados da OS'!$D$8=Parâmetros!$B$4,
           IF(OR(B304="CE",B304="EE"),4,IF(B304="SE",5,IF(B304="ALI",7,IF(B304="AIE",5,"")))),
        IF('Dados da OS'!$D$8=Parâmetros!$B$3,
           IF(OR(ISBLANK(D304),ISBLANK(F304)),"",
              IF(B304="ALI",IF(L304="L",7,IF(L304="A",10,15)),
                 IF(B304="AIE",IF(L304="L",5,IF(L304="A",7,10)),
                    IF(B304="SE",IF(L304="L",4,IF(L304="A",5,7)),
                       IF(OR(B304="EE",B304="CE"),IF(L304="L",3,IF(L304="A",4,6)),""))))))))),
   IF('Dados da OS'!$D$8=Parâmetros!$B$5,
      IF(OR(AND(B304="INM",N304&lt;&gt;"VF"),AND(N304="VF",B304&lt;&gt;"INM")),"",
         IF(B304="INM",IF(N304="VF",M304*H304,""),
            IF(B304="PE",4.6,
            IF(B304="AL",7,"")))),
   IF('Dados da OS'!$D$8=Parâmetros!$B$6,
      IF(B304="ALI",35,IF(B304="AIE",15,"")),""))
    )
)</f>
        <v/>
      </c>
      <c r="Q304" s="60" t="str">
        <f t="shared" si="31"/>
        <v/>
      </c>
      <c r="R304" s="61"/>
      <c r="S304" s="62"/>
      <c r="T304" s="80" t="s">
        <v>21</v>
      </c>
      <c r="U304" s="81"/>
      <c r="V304" s="99"/>
      <c r="W304" s="55"/>
      <c r="X304" s="55"/>
      <c r="Y304" s="56"/>
      <c r="Z304" s="55"/>
      <c r="AA304" s="56"/>
      <c r="AB304" s="55"/>
      <c r="AC304" s="57" t="str">
        <f t="shared" si="32"/>
        <v/>
      </c>
      <c r="AD304" s="57" t="str">
        <f t="shared" si="33"/>
        <v/>
      </c>
      <c r="AE304" s="57" t="str">
        <f xml:space="preserve">
IF(OR('Dados da OS'!$D$8=Parâmetros!$B$3,'Dados da OS'!$D$8=Parâmetros!$B$4),
  IF(OR(ISBLANK(X304),ISBLANK(Z304)),
     IF(OR(V304="ALI",V304="AIE"),"L",IF(ISBLANK(V304),"","A")),
     IF(V304="EE",IF(Z304&gt;=3,IF(X304&gt;=5,"H","A"),
     IF(Z304&gt;=2,IF(X304&gt;=16,"H",IF(X304&lt;=4,"L","A")),IF(X304&lt;=15,"L","A"))),
     IF(OR(V304="SE",V304="CE"),IF(Z304&gt;=4,IF(X304&gt;=6,"H","A"),IF(Z304&gt;=2,IF(X304&gt;=20,"H",IF(X304&lt;=5,"L","A")),IF(X304&lt;=19,"L","A"))),
     IF(OR(V304="ALI",V304="AIE"),IF(Z304&gt;=6,IF(X304&gt;=20,"H","A"),IF(Z304&gt;=2,IF(X304&gt;=51,"H",IF(X304&lt;=19,"L","A")),IF(X304&lt;=50,"L","A"))))))),
IF('Dados da OS'!$D$8=Parâmetros!$B$6,"Indicativa",
IF('Dados da OS'!$D$8=Parâmetros!$B$5,"PFS","")))</f>
        <v/>
      </c>
      <c r="AF304" s="57">
        <f>IFERROR(VLOOKUP(W304,'Fatores de Impacto e INMs'!$A$3:$D$32,3,0),1)</f>
        <v>1</v>
      </c>
      <c r="AG304" s="57">
        <f>IFERROR(VLOOKUP(W304,'Fatores de Impacto e INMs'!$A$3:$E$32,5,0),1)</f>
        <v>1</v>
      </c>
      <c r="AH304" s="82" t="str">
        <f xml:space="preserve">
IF(OR('Dados da OS'!$D$8="Selecione o tipo da contagem",ISBLANK('Dados da OS'!$D$8),V304="INM",V304="N/A",ISBLANK(V304),ISBLANK(W304),AG304="VF"),"-",
   IF('Dados da OS'!$D$8=Parâmetros!$B$3,
      IF(OR(ISBLANK(X304),ISBLANK(Z304)),"-",
         IF(AE304="L","Baixa",IF(AE304="A","Média",IF(AE304="H","Alta","-")))),
      IF('Dados da OS'!$D$8=Parâmetros!$B$4,
         IF(OR(V304="ALI",V304="AIE"),"Baixa",IF(OR(V304="EE",V304="SE",V304="CE"),"Média","-")),
         IF(OR('Dados da OS'!$D$8=Parâmetros!$B$5,'Dados da OS'!$D$8=Parâmetros!$B$6),"-"))))</f>
        <v>-</v>
      </c>
      <c r="AI304" s="83" t="str">
        <f xml:space="preserve">
IF(OR(ISBLANK(V304),ISBLANK(U304),ISBLANK(W304),V304="N/A",ISBLANK('Dados da OS'!$D$8)),"",
   IF(OR('Dados da OS'!$D$8=Parâmetros!$B$3,'Dados da OS'!$D$8=Parâmetros!$B$4),
      IF(OR(AND(V304="INM",AG304&lt;&gt;"VF"),AND(AG304="VF",V304&lt;&gt;"INM")),"",
        IF(AND(V304="INM",AG304="VF"),IF(ISBLANK(AB304),"",AF304*AB304),
        IF('Dados da OS'!$D$8=Parâmetros!$B$4,
           IF(OR(V304="CE",V304="EE"),4,IF(V304="SE",5,IF(V304="ALI",7,IF(V304="AIE",5,"")))),
        IF('Dados da OS'!$D$8=Parâmetros!$B$3,
           IF(OR(ISBLANK(X304),ISBLANK(Z304)),"",
              IF(V304="ALI",IF(AE304="L",7,IF(AE304="A",10,15)),
                 IF(V304="AIE",IF(AE304="L",5,IF(AE304="A",7,10)),
                    IF(V304="SE",IF(AE304="L",4,IF(AE304="A",5,7)),
                       IF(OR(V304="EE",V304="CE"),IF(AE304="L",3,IF(AE304="A",4,6)),""))))))))),
   IF('Dados da OS'!$D$8=Parâmetros!$B$5,
      IF(OR(AND(V304="INM",AG304&lt;&gt;"VF"),AND(AG304="VF",V304&lt;&gt;"INM")),"",
         IF(V304="INM",IF(AG304="VF",AF304*AB304,""),
            IF(V304="PE",4.6,
            IF(V304="AL",7,"")))),
   IF('Dados da OS'!$D$8=Parâmetros!$B$6,
      IF(V304="ALI",35,IF(V304="AIE",15,"")),""))
    )
)</f>
        <v/>
      </c>
      <c r="AJ304" s="82" t="str">
        <f t="shared" si="34"/>
        <v/>
      </c>
      <c r="AK304" s="84"/>
      <c r="AL304" s="85" t="s">
        <v>21</v>
      </c>
      <c r="AM304" s="86"/>
      <c r="AN304" s="85"/>
      <c r="AO304" s="87"/>
      <c r="AP304" s="85"/>
      <c r="AQ304" s="86"/>
      <c r="AR304" s="85"/>
    </row>
    <row r="305" spans="1:44" ht="15.75" customHeight="1">
      <c r="A305" s="54"/>
      <c r="B305" s="100"/>
      <c r="C305" s="55"/>
      <c r="D305" s="55"/>
      <c r="E305" s="56"/>
      <c r="F305" s="55"/>
      <c r="G305" s="56"/>
      <c r="H305" s="55"/>
      <c r="I305" s="64"/>
      <c r="J305" s="57" t="str">
        <f t="shared" si="29"/>
        <v/>
      </c>
      <c r="K305" s="57" t="str">
        <f t="shared" si="30"/>
        <v/>
      </c>
      <c r="L305" s="57" t="str">
        <f xml:space="preserve">
IF(OR('Dados da OS'!$D$8=Parâmetros!$B$3,'Dados da OS'!$D$8=Parâmetros!$B$4),
  IF(OR(ISBLANK(D305),ISBLANK(F305)),
     IF(OR(B305="ALI",B305="AIE"),"L",IF(ISBLANK(B305),"","A")),
     IF(B305="EE",IF(F305&gt;=3,IF(D305&gt;=5,"H","A"),
     IF(F305&gt;=2,IF(D305&gt;=16,"H",IF(D305&lt;=4,"L","A")),IF(D305&lt;=15,"L","A"))),
     IF(OR(B305="SE",B305="CE"),IF(F305&gt;=4,IF(D305&gt;=6,"H","A"),IF(F305&gt;=2,IF(D305&gt;=20,"H",IF(D305&lt;=5,"L","A")),IF(D305&lt;=19,"L","A"))),
     IF(OR(B305="ALI",B305="AIE"),IF(F305&gt;=6,IF(D305&gt;=20,"H","A"),IF(F305&gt;=2,IF(D305&gt;=51,"H",IF(D305&lt;=19,"L","A")),IF(D305&lt;=50,"L","A"))))))),
IF('Dados da OS'!$D$8=Parâmetros!$B$6,"Indicativa",
IF('Dados da OS'!$D$8=Parâmetros!$B$5,"PFS","")))</f>
        <v/>
      </c>
      <c r="M305" s="57">
        <f>IFERROR(VLOOKUP(C305,'Fatores de Impacto e INMs'!$A$3:$D$32,3,0),1)</f>
        <v>1</v>
      </c>
      <c r="N305" s="57">
        <f>IFERROR(VLOOKUP(C305,'Fatores de Impacto e INMs'!$A$3:$E$32,5,0),1)</f>
        <v>1</v>
      </c>
      <c r="O305" s="63" t="str">
        <f xml:space="preserve">
IF(OR('Dados da OS'!$D$8="Selecione o tipo da contagem",ISBLANK('Dados da OS'!$D$8),B305="INM",B305="N/A",ISBLANK(B305),ISBLANK(C305),N305="VF"),"-",
   IF('Dados da OS'!$D$8=Parâmetros!$B$3,
      IF(OR(ISBLANK(D305),ISBLANK(F305)),"-",
         IF(L305="L","Baixa",IF(L305="A","Média",IF(L305="H","Alta","-")))),
      IF('Dados da OS'!$D$8=Parâmetros!$B$4,
         IF(OR(B305="ALI",B305="AIE"),"Baixa",IF(OR(B305="EE",B305="SE",B305="CE"),"Média","-")),
         IF(OR('Dados da OS'!$D$8=Parâmetros!$B$5,'Dados da OS'!$D$8=Parâmetros!$B$6),"-"))))</f>
        <v>-</v>
      </c>
      <c r="P305" s="59" t="str">
        <f xml:space="preserve">
IF(OR(ISBLANK(B305),ISBLANK(C305),B305="N/A",ISBLANK('Dados da OS'!$D$8)),"",
   IF(OR('Dados da OS'!$D$8=Parâmetros!$B$3,'Dados da OS'!$D$8=Parâmetros!$B$4),
      IF(OR(AND(B305="INM",N305&lt;&gt;"VF"),AND(N305="VF",B305&lt;&gt;"INM")),"",
        IF(AND(B305="INM",N305="VF"),IF(ISBLANK(H305),"",M305*H305),
        IF('Dados da OS'!$D$8=Parâmetros!$B$4,
           IF(OR(B305="CE",B305="EE"),4,IF(B305="SE",5,IF(B305="ALI",7,IF(B305="AIE",5,"")))),
        IF('Dados da OS'!$D$8=Parâmetros!$B$3,
           IF(OR(ISBLANK(D305),ISBLANK(F305)),"",
              IF(B305="ALI",IF(L305="L",7,IF(L305="A",10,15)),
                 IF(B305="AIE",IF(L305="L",5,IF(L305="A",7,10)),
                    IF(B305="SE",IF(L305="L",4,IF(L305="A",5,7)),
                       IF(OR(B305="EE",B305="CE"),IF(L305="L",3,IF(L305="A",4,6)),""))))))))),
   IF('Dados da OS'!$D$8=Parâmetros!$B$5,
      IF(OR(AND(B305="INM",N305&lt;&gt;"VF"),AND(N305="VF",B305&lt;&gt;"INM")),"",
         IF(B305="INM",IF(N305="VF",M305*H305,""),
            IF(B305="PE",4.6,
            IF(B305="AL",7,"")))),
   IF('Dados da OS'!$D$8=Parâmetros!$B$6,
      IF(B305="ALI",35,IF(B305="AIE",15,"")),""))
    )
)</f>
        <v/>
      </c>
      <c r="Q305" s="60" t="str">
        <f t="shared" si="31"/>
        <v/>
      </c>
      <c r="R305" s="61"/>
      <c r="S305" s="62"/>
      <c r="T305" s="80" t="s">
        <v>21</v>
      </c>
      <c r="U305" s="81"/>
      <c r="V305" s="99"/>
      <c r="W305" s="55"/>
      <c r="X305" s="55"/>
      <c r="Y305" s="56"/>
      <c r="Z305" s="55"/>
      <c r="AA305" s="56"/>
      <c r="AB305" s="55"/>
      <c r="AC305" s="57" t="str">
        <f t="shared" si="32"/>
        <v/>
      </c>
      <c r="AD305" s="57" t="str">
        <f t="shared" si="33"/>
        <v/>
      </c>
      <c r="AE305" s="57" t="str">
        <f xml:space="preserve">
IF(OR('Dados da OS'!$D$8=Parâmetros!$B$3,'Dados da OS'!$D$8=Parâmetros!$B$4),
  IF(OR(ISBLANK(X305),ISBLANK(Z305)),
     IF(OR(V305="ALI",V305="AIE"),"L",IF(ISBLANK(V305),"","A")),
     IF(V305="EE",IF(Z305&gt;=3,IF(X305&gt;=5,"H","A"),
     IF(Z305&gt;=2,IF(X305&gt;=16,"H",IF(X305&lt;=4,"L","A")),IF(X305&lt;=15,"L","A"))),
     IF(OR(V305="SE",V305="CE"),IF(Z305&gt;=4,IF(X305&gt;=6,"H","A"),IF(Z305&gt;=2,IF(X305&gt;=20,"H",IF(X305&lt;=5,"L","A")),IF(X305&lt;=19,"L","A"))),
     IF(OR(V305="ALI",V305="AIE"),IF(Z305&gt;=6,IF(X305&gt;=20,"H","A"),IF(Z305&gt;=2,IF(X305&gt;=51,"H",IF(X305&lt;=19,"L","A")),IF(X305&lt;=50,"L","A"))))))),
IF('Dados da OS'!$D$8=Parâmetros!$B$6,"Indicativa",
IF('Dados da OS'!$D$8=Parâmetros!$B$5,"PFS","")))</f>
        <v/>
      </c>
      <c r="AF305" s="57">
        <f>IFERROR(VLOOKUP(W305,'Fatores de Impacto e INMs'!$A$3:$D$32,3,0),1)</f>
        <v>1</v>
      </c>
      <c r="AG305" s="57">
        <f>IFERROR(VLOOKUP(W305,'Fatores de Impacto e INMs'!$A$3:$E$32,5,0),1)</f>
        <v>1</v>
      </c>
      <c r="AH305" s="82" t="str">
        <f xml:space="preserve">
IF(OR('Dados da OS'!$D$8="Selecione o tipo da contagem",ISBLANK('Dados da OS'!$D$8),V305="INM",V305="N/A",ISBLANK(V305),ISBLANK(W305),AG305="VF"),"-",
   IF('Dados da OS'!$D$8=Parâmetros!$B$3,
      IF(OR(ISBLANK(X305),ISBLANK(Z305)),"-",
         IF(AE305="L","Baixa",IF(AE305="A","Média",IF(AE305="H","Alta","-")))),
      IF('Dados da OS'!$D$8=Parâmetros!$B$4,
         IF(OR(V305="ALI",V305="AIE"),"Baixa",IF(OR(V305="EE",V305="SE",V305="CE"),"Média","-")),
         IF(OR('Dados da OS'!$D$8=Parâmetros!$B$5,'Dados da OS'!$D$8=Parâmetros!$B$6),"-"))))</f>
        <v>-</v>
      </c>
      <c r="AI305" s="83" t="str">
        <f xml:space="preserve">
IF(OR(ISBLANK(V305),ISBLANK(U305),ISBLANK(W305),V305="N/A",ISBLANK('Dados da OS'!$D$8)),"",
   IF(OR('Dados da OS'!$D$8=Parâmetros!$B$3,'Dados da OS'!$D$8=Parâmetros!$B$4),
      IF(OR(AND(V305="INM",AG305&lt;&gt;"VF"),AND(AG305="VF",V305&lt;&gt;"INM")),"",
        IF(AND(V305="INM",AG305="VF"),IF(ISBLANK(AB305),"",AF305*AB305),
        IF('Dados da OS'!$D$8=Parâmetros!$B$4,
           IF(OR(V305="CE",V305="EE"),4,IF(V305="SE",5,IF(V305="ALI",7,IF(V305="AIE",5,"")))),
        IF('Dados da OS'!$D$8=Parâmetros!$B$3,
           IF(OR(ISBLANK(X305),ISBLANK(Z305)),"",
              IF(V305="ALI",IF(AE305="L",7,IF(AE305="A",10,15)),
                 IF(V305="AIE",IF(AE305="L",5,IF(AE305="A",7,10)),
                    IF(V305="SE",IF(AE305="L",4,IF(AE305="A",5,7)),
                       IF(OR(V305="EE",V305="CE"),IF(AE305="L",3,IF(AE305="A",4,6)),""))))))))),
   IF('Dados da OS'!$D$8=Parâmetros!$B$5,
      IF(OR(AND(V305="INM",AG305&lt;&gt;"VF"),AND(AG305="VF",V305&lt;&gt;"INM")),"",
         IF(V305="INM",IF(AG305="VF",AF305*AB305,""),
            IF(V305="PE",4.6,
            IF(V305="AL",7,"")))),
   IF('Dados da OS'!$D$8=Parâmetros!$B$6,
      IF(V305="ALI",35,IF(V305="AIE",15,"")),""))
    )
)</f>
        <v/>
      </c>
      <c r="AJ305" s="82" t="str">
        <f t="shared" si="34"/>
        <v/>
      </c>
      <c r="AK305" s="84"/>
      <c r="AL305" s="85" t="s">
        <v>21</v>
      </c>
      <c r="AM305" s="86"/>
      <c r="AN305" s="85"/>
      <c r="AO305" s="87"/>
      <c r="AP305" s="85"/>
      <c r="AQ305" s="86"/>
      <c r="AR305" s="85"/>
    </row>
    <row r="306" spans="1:44" ht="15.75" customHeight="1">
      <c r="A306" s="54"/>
      <c r="B306" s="100"/>
      <c r="C306" s="55"/>
      <c r="D306" s="55"/>
      <c r="E306" s="56"/>
      <c r="F306" s="55"/>
      <c r="G306" s="56"/>
      <c r="H306" s="55"/>
      <c r="I306" s="64"/>
      <c r="J306" s="57" t="str">
        <f t="shared" si="29"/>
        <v/>
      </c>
      <c r="K306" s="57" t="str">
        <f t="shared" si="30"/>
        <v/>
      </c>
      <c r="L306" s="57" t="str">
        <f xml:space="preserve">
IF(OR('Dados da OS'!$D$8=Parâmetros!$B$3,'Dados da OS'!$D$8=Parâmetros!$B$4),
  IF(OR(ISBLANK(D306),ISBLANK(F306)),
     IF(OR(B306="ALI",B306="AIE"),"L",IF(ISBLANK(B306),"","A")),
     IF(B306="EE",IF(F306&gt;=3,IF(D306&gt;=5,"H","A"),
     IF(F306&gt;=2,IF(D306&gt;=16,"H",IF(D306&lt;=4,"L","A")),IF(D306&lt;=15,"L","A"))),
     IF(OR(B306="SE",B306="CE"),IF(F306&gt;=4,IF(D306&gt;=6,"H","A"),IF(F306&gt;=2,IF(D306&gt;=20,"H",IF(D306&lt;=5,"L","A")),IF(D306&lt;=19,"L","A"))),
     IF(OR(B306="ALI",B306="AIE"),IF(F306&gt;=6,IF(D306&gt;=20,"H","A"),IF(F306&gt;=2,IF(D306&gt;=51,"H",IF(D306&lt;=19,"L","A")),IF(D306&lt;=50,"L","A"))))))),
IF('Dados da OS'!$D$8=Parâmetros!$B$6,"Indicativa",
IF('Dados da OS'!$D$8=Parâmetros!$B$5,"PFS","")))</f>
        <v/>
      </c>
      <c r="M306" s="57">
        <f>IFERROR(VLOOKUP(C306,'Fatores de Impacto e INMs'!$A$3:$D$32,3,0),1)</f>
        <v>1</v>
      </c>
      <c r="N306" s="57">
        <f>IFERROR(VLOOKUP(C306,'Fatores de Impacto e INMs'!$A$3:$E$32,5,0),1)</f>
        <v>1</v>
      </c>
      <c r="O306" s="63" t="str">
        <f xml:space="preserve">
IF(OR('Dados da OS'!$D$8="Selecione o tipo da contagem",ISBLANK('Dados da OS'!$D$8),B306="INM",B306="N/A",ISBLANK(B306),ISBLANK(C306),N306="VF"),"-",
   IF('Dados da OS'!$D$8=Parâmetros!$B$3,
      IF(OR(ISBLANK(D306),ISBLANK(F306)),"-",
         IF(L306="L","Baixa",IF(L306="A","Média",IF(L306="H","Alta","-")))),
      IF('Dados da OS'!$D$8=Parâmetros!$B$4,
         IF(OR(B306="ALI",B306="AIE"),"Baixa",IF(OR(B306="EE",B306="SE",B306="CE"),"Média","-")),
         IF(OR('Dados da OS'!$D$8=Parâmetros!$B$5,'Dados da OS'!$D$8=Parâmetros!$B$6),"-"))))</f>
        <v>-</v>
      </c>
      <c r="P306" s="59" t="str">
        <f xml:space="preserve">
IF(OR(ISBLANK(B306),ISBLANK(C306),B306="N/A",ISBLANK('Dados da OS'!$D$8)),"",
   IF(OR('Dados da OS'!$D$8=Parâmetros!$B$3,'Dados da OS'!$D$8=Parâmetros!$B$4),
      IF(OR(AND(B306="INM",N306&lt;&gt;"VF"),AND(N306="VF",B306&lt;&gt;"INM")),"",
        IF(AND(B306="INM",N306="VF"),IF(ISBLANK(H306),"",M306*H306),
        IF('Dados da OS'!$D$8=Parâmetros!$B$4,
           IF(OR(B306="CE",B306="EE"),4,IF(B306="SE",5,IF(B306="ALI",7,IF(B306="AIE",5,"")))),
        IF('Dados da OS'!$D$8=Parâmetros!$B$3,
           IF(OR(ISBLANK(D306),ISBLANK(F306)),"",
              IF(B306="ALI",IF(L306="L",7,IF(L306="A",10,15)),
                 IF(B306="AIE",IF(L306="L",5,IF(L306="A",7,10)),
                    IF(B306="SE",IF(L306="L",4,IF(L306="A",5,7)),
                       IF(OR(B306="EE",B306="CE"),IF(L306="L",3,IF(L306="A",4,6)),""))))))))),
   IF('Dados da OS'!$D$8=Parâmetros!$B$5,
      IF(OR(AND(B306="INM",N306&lt;&gt;"VF"),AND(N306="VF",B306&lt;&gt;"INM")),"",
         IF(B306="INM",IF(N306="VF",M306*H306,""),
            IF(B306="PE",4.6,
            IF(B306="AL",7,"")))),
   IF('Dados da OS'!$D$8=Parâmetros!$B$6,
      IF(B306="ALI",35,IF(B306="AIE",15,"")),""))
    )
)</f>
        <v/>
      </c>
      <c r="Q306" s="60" t="str">
        <f t="shared" si="31"/>
        <v/>
      </c>
      <c r="R306" s="61"/>
      <c r="S306" s="62"/>
      <c r="T306" s="80" t="s">
        <v>21</v>
      </c>
      <c r="U306" s="81"/>
      <c r="V306" s="99"/>
      <c r="W306" s="55"/>
      <c r="X306" s="55"/>
      <c r="Y306" s="56"/>
      <c r="Z306" s="55"/>
      <c r="AA306" s="56"/>
      <c r="AB306" s="55"/>
      <c r="AC306" s="57" t="str">
        <f t="shared" si="32"/>
        <v/>
      </c>
      <c r="AD306" s="57" t="str">
        <f t="shared" si="33"/>
        <v/>
      </c>
      <c r="AE306" s="57" t="str">
        <f xml:space="preserve">
IF(OR('Dados da OS'!$D$8=Parâmetros!$B$3,'Dados da OS'!$D$8=Parâmetros!$B$4),
  IF(OR(ISBLANK(X306),ISBLANK(Z306)),
     IF(OR(V306="ALI",V306="AIE"),"L",IF(ISBLANK(V306),"","A")),
     IF(V306="EE",IF(Z306&gt;=3,IF(X306&gt;=5,"H","A"),
     IF(Z306&gt;=2,IF(X306&gt;=16,"H",IF(X306&lt;=4,"L","A")),IF(X306&lt;=15,"L","A"))),
     IF(OR(V306="SE",V306="CE"),IF(Z306&gt;=4,IF(X306&gt;=6,"H","A"),IF(Z306&gt;=2,IF(X306&gt;=20,"H",IF(X306&lt;=5,"L","A")),IF(X306&lt;=19,"L","A"))),
     IF(OR(V306="ALI",V306="AIE"),IF(Z306&gt;=6,IF(X306&gt;=20,"H","A"),IF(Z306&gt;=2,IF(X306&gt;=51,"H",IF(X306&lt;=19,"L","A")),IF(X306&lt;=50,"L","A"))))))),
IF('Dados da OS'!$D$8=Parâmetros!$B$6,"Indicativa",
IF('Dados da OS'!$D$8=Parâmetros!$B$5,"PFS","")))</f>
        <v/>
      </c>
      <c r="AF306" s="57">
        <f>IFERROR(VLOOKUP(W306,'Fatores de Impacto e INMs'!$A$3:$D$32,3,0),1)</f>
        <v>1</v>
      </c>
      <c r="AG306" s="57">
        <f>IFERROR(VLOOKUP(W306,'Fatores de Impacto e INMs'!$A$3:$E$32,5,0),1)</f>
        <v>1</v>
      </c>
      <c r="AH306" s="82" t="str">
        <f xml:space="preserve">
IF(OR('Dados da OS'!$D$8="Selecione o tipo da contagem",ISBLANK('Dados da OS'!$D$8),V306="INM",V306="N/A",ISBLANK(V306),ISBLANK(W306),AG306="VF"),"-",
   IF('Dados da OS'!$D$8=Parâmetros!$B$3,
      IF(OR(ISBLANK(X306),ISBLANK(Z306)),"-",
         IF(AE306="L","Baixa",IF(AE306="A","Média",IF(AE306="H","Alta","-")))),
      IF('Dados da OS'!$D$8=Parâmetros!$B$4,
         IF(OR(V306="ALI",V306="AIE"),"Baixa",IF(OR(V306="EE",V306="SE",V306="CE"),"Média","-")),
         IF(OR('Dados da OS'!$D$8=Parâmetros!$B$5,'Dados da OS'!$D$8=Parâmetros!$B$6),"-"))))</f>
        <v>-</v>
      </c>
      <c r="AI306" s="83" t="str">
        <f xml:space="preserve">
IF(OR(ISBLANK(V306),ISBLANK(U306),ISBLANK(W306),V306="N/A",ISBLANK('Dados da OS'!$D$8)),"",
   IF(OR('Dados da OS'!$D$8=Parâmetros!$B$3,'Dados da OS'!$D$8=Parâmetros!$B$4),
      IF(OR(AND(V306="INM",AG306&lt;&gt;"VF"),AND(AG306="VF",V306&lt;&gt;"INM")),"",
        IF(AND(V306="INM",AG306="VF"),IF(ISBLANK(AB306),"",AF306*AB306),
        IF('Dados da OS'!$D$8=Parâmetros!$B$4,
           IF(OR(V306="CE",V306="EE"),4,IF(V306="SE",5,IF(V306="ALI",7,IF(V306="AIE",5,"")))),
        IF('Dados da OS'!$D$8=Parâmetros!$B$3,
           IF(OR(ISBLANK(X306),ISBLANK(Z306)),"",
              IF(V306="ALI",IF(AE306="L",7,IF(AE306="A",10,15)),
                 IF(V306="AIE",IF(AE306="L",5,IF(AE306="A",7,10)),
                    IF(V306="SE",IF(AE306="L",4,IF(AE306="A",5,7)),
                       IF(OR(V306="EE",V306="CE"),IF(AE306="L",3,IF(AE306="A",4,6)),""))))))))),
   IF('Dados da OS'!$D$8=Parâmetros!$B$5,
      IF(OR(AND(V306="INM",AG306&lt;&gt;"VF"),AND(AG306="VF",V306&lt;&gt;"INM")),"",
         IF(V306="INM",IF(AG306="VF",AF306*AB306,""),
            IF(V306="PE",4.6,
            IF(V306="AL",7,"")))),
   IF('Dados da OS'!$D$8=Parâmetros!$B$6,
      IF(V306="ALI",35,IF(V306="AIE",15,"")),""))
    )
)</f>
        <v/>
      </c>
      <c r="AJ306" s="82" t="str">
        <f t="shared" si="34"/>
        <v/>
      </c>
      <c r="AK306" s="84"/>
      <c r="AL306" s="85" t="s">
        <v>21</v>
      </c>
      <c r="AM306" s="86"/>
      <c r="AN306" s="85"/>
      <c r="AO306" s="87"/>
      <c r="AP306" s="85"/>
      <c r="AQ306" s="86"/>
      <c r="AR306" s="85"/>
    </row>
    <row r="307" spans="1:44" ht="15.75" customHeight="1">
      <c r="A307" s="54"/>
      <c r="B307" s="100"/>
      <c r="C307" s="55"/>
      <c r="D307" s="55"/>
      <c r="E307" s="56"/>
      <c r="F307" s="55"/>
      <c r="G307" s="56"/>
      <c r="H307" s="55"/>
      <c r="I307" s="64"/>
      <c r="J307" s="57" t="str">
        <f t="shared" si="29"/>
        <v/>
      </c>
      <c r="K307" s="57" t="str">
        <f t="shared" si="30"/>
        <v/>
      </c>
      <c r="L307" s="57" t="str">
        <f xml:space="preserve">
IF(OR('Dados da OS'!$D$8=Parâmetros!$B$3,'Dados da OS'!$D$8=Parâmetros!$B$4),
  IF(OR(ISBLANK(D307),ISBLANK(F307)),
     IF(OR(B307="ALI",B307="AIE"),"L",IF(ISBLANK(B307),"","A")),
     IF(B307="EE",IF(F307&gt;=3,IF(D307&gt;=5,"H","A"),
     IF(F307&gt;=2,IF(D307&gt;=16,"H",IF(D307&lt;=4,"L","A")),IF(D307&lt;=15,"L","A"))),
     IF(OR(B307="SE",B307="CE"),IF(F307&gt;=4,IF(D307&gt;=6,"H","A"),IF(F307&gt;=2,IF(D307&gt;=20,"H",IF(D307&lt;=5,"L","A")),IF(D307&lt;=19,"L","A"))),
     IF(OR(B307="ALI",B307="AIE"),IF(F307&gt;=6,IF(D307&gt;=20,"H","A"),IF(F307&gt;=2,IF(D307&gt;=51,"H",IF(D307&lt;=19,"L","A")),IF(D307&lt;=50,"L","A"))))))),
IF('Dados da OS'!$D$8=Parâmetros!$B$6,"Indicativa",
IF('Dados da OS'!$D$8=Parâmetros!$B$5,"PFS","")))</f>
        <v/>
      </c>
      <c r="M307" s="57">
        <f>IFERROR(VLOOKUP(C307,'Fatores de Impacto e INMs'!$A$3:$D$32,3,0),1)</f>
        <v>1</v>
      </c>
      <c r="N307" s="57">
        <f>IFERROR(VLOOKUP(C307,'Fatores de Impacto e INMs'!$A$3:$E$32,5,0),1)</f>
        <v>1</v>
      </c>
      <c r="O307" s="63" t="str">
        <f xml:space="preserve">
IF(OR('Dados da OS'!$D$8="Selecione o tipo da contagem",ISBLANK('Dados da OS'!$D$8),B307="INM",B307="N/A",ISBLANK(B307),ISBLANK(C307),N307="VF"),"-",
   IF('Dados da OS'!$D$8=Parâmetros!$B$3,
      IF(OR(ISBLANK(D307),ISBLANK(F307)),"-",
         IF(L307="L","Baixa",IF(L307="A","Média",IF(L307="H","Alta","-")))),
      IF('Dados da OS'!$D$8=Parâmetros!$B$4,
         IF(OR(B307="ALI",B307="AIE"),"Baixa",IF(OR(B307="EE",B307="SE",B307="CE"),"Média","-")),
         IF(OR('Dados da OS'!$D$8=Parâmetros!$B$5,'Dados da OS'!$D$8=Parâmetros!$B$6),"-"))))</f>
        <v>-</v>
      </c>
      <c r="P307" s="59" t="str">
        <f xml:space="preserve">
IF(OR(ISBLANK(B307),ISBLANK(C307),B307="N/A",ISBLANK('Dados da OS'!$D$8)),"",
   IF(OR('Dados da OS'!$D$8=Parâmetros!$B$3,'Dados da OS'!$D$8=Parâmetros!$B$4),
      IF(OR(AND(B307="INM",N307&lt;&gt;"VF"),AND(N307="VF",B307&lt;&gt;"INM")),"",
        IF(AND(B307="INM",N307="VF"),IF(ISBLANK(H307),"",M307*H307),
        IF('Dados da OS'!$D$8=Parâmetros!$B$4,
           IF(OR(B307="CE",B307="EE"),4,IF(B307="SE",5,IF(B307="ALI",7,IF(B307="AIE",5,"")))),
        IF('Dados da OS'!$D$8=Parâmetros!$B$3,
           IF(OR(ISBLANK(D307),ISBLANK(F307)),"",
              IF(B307="ALI",IF(L307="L",7,IF(L307="A",10,15)),
                 IF(B307="AIE",IF(L307="L",5,IF(L307="A",7,10)),
                    IF(B307="SE",IF(L307="L",4,IF(L307="A",5,7)),
                       IF(OR(B307="EE",B307="CE"),IF(L307="L",3,IF(L307="A",4,6)),""))))))))),
   IF('Dados da OS'!$D$8=Parâmetros!$B$5,
      IF(OR(AND(B307="INM",N307&lt;&gt;"VF"),AND(N307="VF",B307&lt;&gt;"INM")),"",
         IF(B307="INM",IF(N307="VF",M307*H307,""),
            IF(B307="PE",4.6,
            IF(B307="AL",7,"")))),
   IF('Dados da OS'!$D$8=Parâmetros!$B$6,
      IF(B307="ALI",35,IF(B307="AIE",15,"")),""))
    )
)</f>
        <v/>
      </c>
      <c r="Q307" s="60" t="str">
        <f t="shared" si="31"/>
        <v/>
      </c>
      <c r="R307" s="61"/>
      <c r="S307" s="62"/>
      <c r="T307" s="80" t="s">
        <v>21</v>
      </c>
      <c r="U307" s="81"/>
      <c r="V307" s="99"/>
      <c r="W307" s="55"/>
      <c r="X307" s="55"/>
      <c r="Y307" s="56"/>
      <c r="Z307" s="55"/>
      <c r="AA307" s="56"/>
      <c r="AB307" s="55"/>
      <c r="AC307" s="57" t="str">
        <f t="shared" si="32"/>
        <v/>
      </c>
      <c r="AD307" s="57" t="str">
        <f t="shared" si="33"/>
        <v/>
      </c>
      <c r="AE307" s="57" t="str">
        <f xml:space="preserve">
IF(OR('Dados da OS'!$D$8=Parâmetros!$B$3,'Dados da OS'!$D$8=Parâmetros!$B$4),
  IF(OR(ISBLANK(X307),ISBLANK(Z307)),
     IF(OR(V307="ALI",V307="AIE"),"L",IF(ISBLANK(V307),"","A")),
     IF(V307="EE",IF(Z307&gt;=3,IF(X307&gt;=5,"H","A"),
     IF(Z307&gt;=2,IF(X307&gt;=16,"H",IF(X307&lt;=4,"L","A")),IF(X307&lt;=15,"L","A"))),
     IF(OR(V307="SE",V307="CE"),IF(Z307&gt;=4,IF(X307&gt;=6,"H","A"),IF(Z307&gt;=2,IF(X307&gt;=20,"H",IF(X307&lt;=5,"L","A")),IF(X307&lt;=19,"L","A"))),
     IF(OR(V307="ALI",V307="AIE"),IF(Z307&gt;=6,IF(X307&gt;=20,"H","A"),IF(Z307&gt;=2,IF(X307&gt;=51,"H",IF(X307&lt;=19,"L","A")),IF(X307&lt;=50,"L","A"))))))),
IF('Dados da OS'!$D$8=Parâmetros!$B$6,"Indicativa",
IF('Dados da OS'!$D$8=Parâmetros!$B$5,"PFS","")))</f>
        <v/>
      </c>
      <c r="AF307" s="57">
        <f>IFERROR(VLOOKUP(W307,'Fatores de Impacto e INMs'!$A$3:$D$32,3,0),1)</f>
        <v>1</v>
      </c>
      <c r="AG307" s="57">
        <f>IFERROR(VLOOKUP(W307,'Fatores de Impacto e INMs'!$A$3:$E$32,5,0),1)</f>
        <v>1</v>
      </c>
      <c r="AH307" s="82" t="str">
        <f xml:space="preserve">
IF(OR('Dados da OS'!$D$8="Selecione o tipo da contagem",ISBLANK('Dados da OS'!$D$8),V307="INM",V307="N/A",ISBLANK(V307),ISBLANK(W307),AG307="VF"),"-",
   IF('Dados da OS'!$D$8=Parâmetros!$B$3,
      IF(OR(ISBLANK(X307),ISBLANK(Z307)),"-",
         IF(AE307="L","Baixa",IF(AE307="A","Média",IF(AE307="H","Alta","-")))),
      IF('Dados da OS'!$D$8=Parâmetros!$B$4,
         IF(OR(V307="ALI",V307="AIE"),"Baixa",IF(OR(V307="EE",V307="SE",V307="CE"),"Média","-")),
         IF(OR('Dados da OS'!$D$8=Parâmetros!$B$5,'Dados da OS'!$D$8=Parâmetros!$B$6),"-"))))</f>
        <v>-</v>
      </c>
      <c r="AI307" s="83" t="str">
        <f xml:space="preserve">
IF(OR(ISBLANK(V307),ISBLANK(U307),ISBLANK(W307),V307="N/A",ISBLANK('Dados da OS'!$D$8)),"",
   IF(OR('Dados da OS'!$D$8=Parâmetros!$B$3,'Dados da OS'!$D$8=Parâmetros!$B$4),
      IF(OR(AND(V307="INM",AG307&lt;&gt;"VF"),AND(AG307="VF",V307&lt;&gt;"INM")),"",
        IF(AND(V307="INM",AG307="VF"),IF(ISBLANK(AB307),"",AF307*AB307),
        IF('Dados da OS'!$D$8=Parâmetros!$B$4,
           IF(OR(V307="CE",V307="EE"),4,IF(V307="SE",5,IF(V307="ALI",7,IF(V307="AIE",5,"")))),
        IF('Dados da OS'!$D$8=Parâmetros!$B$3,
           IF(OR(ISBLANK(X307),ISBLANK(Z307)),"",
              IF(V307="ALI",IF(AE307="L",7,IF(AE307="A",10,15)),
                 IF(V307="AIE",IF(AE307="L",5,IF(AE307="A",7,10)),
                    IF(V307="SE",IF(AE307="L",4,IF(AE307="A",5,7)),
                       IF(OR(V307="EE",V307="CE"),IF(AE307="L",3,IF(AE307="A",4,6)),""))))))))),
   IF('Dados da OS'!$D$8=Parâmetros!$B$5,
      IF(OR(AND(V307="INM",AG307&lt;&gt;"VF"),AND(AG307="VF",V307&lt;&gt;"INM")),"",
         IF(V307="INM",IF(AG307="VF",AF307*AB307,""),
            IF(V307="PE",4.6,
            IF(V307="AL",7,"")))),
   IF('Dados da OS'!$D$8=Parâmetros!$B$6,
      IF(V307="ALI",35,IF(V307="AIE",15,"")),""))
    )
)</f>
        <v/>
      </c>
      <c r="AJ307" s="82" t="str">
        <f t="shared" si="34"/>
        <v/>
      </c>
      <c r="AK307" s="84"/>
      <c r="AL307" s="85" t="s">
        <v>21</v>
      </c>
      <c r="AM307" s="86"/>
      <c r="AN307" s="85"/>
      <c r="AO307" s="87"/>
      <c r="AP307" s="85"/>
      <c r="AQ307" s="86"/>
      <c r="AR307" s="85"/>
    </row>
    <row r="308" spans="1:44" ht="15.75" customHeight="1">
      <c r="A308" s="54"/>
      <c r="B308" s="100"/>
      <c r="C308" s="55"/>
      <c r="D308" s="55"/>
      <c r="E308" s="56"/>
      <c r="F308" s="55"/>
      <c r="G308" s="56"/>
      <c r="H308" s="55"/>
      <c r="I308" s="64"/>
      <c r="J308" s="57" t="str">
        <f t="shared" ref="J308:J371" si="35">CONCATENATE(B308,L308)</f>
        <v/>
      </c>
      <c r="K308" s="57" t="str">
        <f t="shared" ref="K308:K371" si="36">CONCATENATE(B308,C308,L308,Q308)</f>
        <v/>
      </c>
      <c r="L308" s="57" t="str">
        <f xml:space="preserve">
IF(OR('Dados da OS'!$D$8=Parâmetros!$B$3,'Dados da OS'!$D$8=Parâmetros!$B$4),
  IF(OR(ISBLANK(D308),ISBLANK(F308)),
     IF(OR(B308="ALI",B308="AIE"),"L",IF(ISBLANK(B308),"","A")),
     IF(B308="EE",IF(F308&gt;=3,IF(D308&gt;=5,"H","A"),
     IF(F308&gt;=2,IF(D308&gt;=16,"H",IF(D308&lt;=4,"L","A")),IF(D308&lt;=15,"L","A"))),
     IF(OR(B308="SE",B308="CE"),IF(F308&gt;=4,IF(D308&gt;=6,"H","A"),IF(F308&gt;=2,IF(D308&gt;=20,"H",IF(D308&lt;=5,"L","A")),IF(D308&lt;=19,"L","A"))),
     IF(OR(B308="ALI",B308="AIE"),IF(F308&gt;=6,IF(D308&gt;=20,"H","A"),IF(F308&gt;=2,IF(D308&gt;=51,"H",IF(D308&lt;=19,"L","A")),IF(D308&lt;=50,"L","A"))))))),
IF('Dados da OS'!$D$8=Parâmetros!$B$6,"Indicativa",
IF('Dados da OS'!$D$8=Parâmetros!$B$5,"PFS","")))</f>
        <v/>
      </c>
      <c r="M308" s="57">
        <f>IFERROR(VLOOKUP(C308,'Fatores de Impacto e INMs'!$A$3:$D$32,3,0),1)</f>
        <v>1</v>
      </c>
      <c r="N308" s="57">
        <f>IFERROR(VLOOKUP(C308,'Fatores de Impacto e INMs'!$A$3:$E$32,5,0),1)</f>
        <v>1</v>
      </c>
      <c r="O308" s="63" t="str">
        <f xml:space="preserve">
IF(OR('Dados da OS'!$D$8="Selecione o tipo da contagem",ISBLANK('Dados da OS'!$D$8),B308="INM",B308="N/A",ISBLANK(B308),ISBLANK(C308),N308="VF"),"-",
   IF('Dados da OS'!$D$8=Parâmetros!$B$3,
      IF(OR(ISBLANK(D308),ISBLANK(F308)),"-",
         IF(L308="L","Baixa",IF(L308="A","Média",IF(L308="H","Alta","-")))),
      IF('Dados da OS'!$D$8=Parâmetros!$B$4,
         IF(OR(B308="ALI",B308="AIE"),"Baixa",IF(OR(B308="EE",B308="SE",B308="CE"),"Média","-")),
         IF(OR('Dados da OS'!$D$8=Parâmetros!$B$5,'Dados da OS'!$D$8=Parâmetros!$B$6),"-"))))</f>
        <v>-</v>
      </c>
      <c r="P308" s="59" t="str">
        <f xml:space="preserve">
IF(OR(ISBLANK(B308),ISBLANK(C308),B308="N/A",ISBLANK('Dados da OS'!$D$8)),"",
   IF(OR('Dados da OS'!$D$8=Parâmetros!$B$3,'Dados da OS'!$D$8=Parâmetros!$B$4),
      IF(OR(AND(B308="INM",N308&lt;&gt;"VF"),AND(N308="VF",B308&lt;&gt;"INM")),"",
        IF(AND(B308="INM",N308="VF"),IF(ISBLANK(H308),"",M308*H308),
        IF('Dados da OS'!$D$8=Parâmetros!$B$4,
           IF(OR(B308="CE",B308="EE"),4,IF(B308="SE",5,IF(B308="ALI",7,IF(B308="AIE",5,"")))),
        IF('Dados da OS'!$D$8=Parâmetros!$B$3,
           IF(OR(ISBLANK(D308),ISBLANK(F308)),"",
              IF(B308="ALI",IF(L308="L",7,IF(L308="A",10,15)),
                 IF(B308="AIE",IF(L308="L",5,IF(L308="A",7,10)),
                    IF(B308="SE",IF(L308="L",4,IF(L308="A",5,7)),
                       IF(OR(B308="EE",B308="CE"),IF(L308="L",3,IF(L308="A",4,6)),""))))))))),
   IF('Dados da OS'!$D$8=Parâmetros!$B$5,
      IF(OR(AND(B308="INM",N308&lt;&gt;"VF"),AND(N308="VF",B308&lt;&gt;"INM")),"",
         IF(B308="INM",IF(N308="VF",M308*H308,""),
            IF(B308="PE",4.6,
            IF(B308="AL",7,"")))),
   IF('Dados da OS'!$D$8=Parâmetros!$B$6,
      IF(B308="ALI",35,IF(B308="AIE",15,"")),""))
    )
)</f>
        <v/>
      </c>
      <c r="Q308" s="60" t="str">
        <f t="shared" si="31"/>
        <v/>
      </c>
      <c r="R308" s="61"/>
      <c r="S308" s="62"/>
      <c r="T308" s="80" t="s">
        <v>21</v>
      </c>
      <c r="U308" s="81"/>
      <c r="V308" s="99"/>
      <c r="W308" s="55"/>
      <c r="X308" s="55"/>
      <c r="Y308" s="56"/>
      <c r="Z308" s="55"/>
      <c r="AA308" s="56"/>
      <c r="AB308" s="55"/>
      <c r="AC308" s="57" t="str">
        <f t="shared" si="32"/>
        <v/>
      </c>
      <c r="AD308" s="57" t="str">
        <f t="shared" si="33"/>
        <v/>
      </c>
      <c r="AE308" s="57" t="str">
        <f xml:space="preserve">
IF(OR('Dados da OS'!$D$8=Parâmetros!$B$3,'Dados da OS'!$D$8=Parâmetros!$B$4),
  IF(OR(ISBLANK(X308),ISBLANK(Z308)),
     IF(OR(V308="ALI",V308="AIE"),"L",IF(ISBLANK(V308),"","A")),
     IF(V308="EE",IF(Z308&gt;=3,IF(X308&gt;=5,"H","A"),
     IF(Z308&gt;=2,IF(X308&gt;=16,"H",IF(X308&lt;=4,"L","A")),IF(X308&lt;=15,"L","A"))),
     IF(OR(V308="SE",V308="CE"),IF(Z308&gt;=4,IF(X308&gt;=6,"H","A"),IF(Z308&gt;=2,IF(X308&gt;=20,"H",IF(X308&lt;=5,"L","A")),IF(X308&lt;=19,"L","A"))),
     IF(OR(V308="ALI",V308="AIE"),IF(Z308&gt;=6,IF(X308&gt;=20,"H","A"),IF(Z308&gt;=2,IF(X308&gt;=51,"H",IF(X308&lt;=19,"L","A")),IF(X308&lt;=50,"L","A"))))))),
IF('Dados da OS'!$D$8=Parâmetros!$B$6,"Indicativa",
IF('Dados da OS'!$D$8=Parâmetros!$B$5,"PFS","")))</f>
        <v/>
      </c>
      <c r="AF308" s="57">
        <f>IFERROR(VLOOKUP(W308,'Fatores de Impacto e INMs'!$A$3:$D$32,3,0),1)</f>
        <v>1</v>
      </c>
      <c r="AG308" s="57">
        <f>IFERROR(VLOOKUP(W308,'Fatores de Impacto e INMs'!$A$3:$E$32,5,0),1)</f>
        <v>1</v>
      </c>
      <c r="AH308" s="82" t="str">
        <f xml:space="preserve">
IF(OR('Dados da OS'!$D$8="Selecione o tipo da contagem",ISBLANK('Dados da OS'!$D$8),V308="INM",V308="N/A",ISBLANK(V308),ISBLANK(W308),AG308="VF"),"-",
   IF('Dados da OS'!$D$8=Parâmetros!$B$3,
      IF(OR(ISBLANK(X308),ISBLANK(Z308)),"-",
         IF(AE308="L","Baixa",IF(AE308="A","Média",IF(AE308="H","Alta","-")))),
      IF('Dados da OS'!$D$8=Parâmetros!$B$4,
         IF(OR(V308="ALI",V308="AIE"),"Baixa",IF(OR(V308="EE",V308="SE",V308="CE"),"Média","-")),
         IF(OR('Dados da OS'!$D$8=Parâmetros!$B$5,'Dados da OS'!$D$8=Parâmetros!$B$6),"-"))))</f>
        <v>-</v>
      </c>
      <c r="AI308" s="83" t="str">
        <f xml:space="preserve">
IF(OR(ISBLANK(V308),ISBLANK(U308),ISBLANK(W308),V308="N/A",ISBLANK('Dados da OS'!$D$8)),"",
   IF(OR('Dados da OS'!$D$8=Parâmetros!$B$3,'Dados da OS'!$D$8=Parâmetros!$B$4),
      IF(OR(AND(V308="INM",AG308&lt;&gt;"VF"),AND(AG308="VF",V308&lt;&gt;"INM")),"",
        IF(AND(V308="INM",AG308="VF"),IF(ISBLANK(AB308),"",AF308*AB308),
        IF('Dados da OS'!$D$8=Parâmetros!$B$4,
           IF(OR(V308="CE",V308="EE"),4,IF(V308="SE",5,IF(V308="ALI",7,IF(V308="AIE",5,"")))),
        IF('Dados da OS'!$D$8=Parâmetros!$B$3,
           IF(OR(ISBLANK(X308),ISBLANK(Z308)),"",
              IF(V308="ALI",IF(AE308="L",7,IF(AE308="A",10,15)),
                 IF(V308="AIE",IF(AE308="L",5,IF(AE308="A",7,10)),
                    IF(V308="SE",IF(AE308="L",4,IF(AE308="A",5,7)),
                       IF(OR(V308="EE",V308="CE"),IF(AE308="L",3,IF(AE308="A",4,6)),""))))))))),
   IF('Dados da OS'!$D$8=Parâmetros!$B$5,
      IF(OR(AND(V308="INM",AG308&lt;&gt;"VF"),AND(AG308="VF",V308&lt;&gt;"INM")),"",
         IF(V308="INM",IF(AG308="VF",AF308*AB308,""),
            IF(V308="PE",4.6,
            IF(V308="AL",7,"")))),
   IF('Dados da OS'!$D$8=Parâmetros!$B$6,
      IF(V308="ALI",35,IF(V308="AIE",15,"")),""))
    )
)</f>
        <v/>
      </c>
      <c r="AJ308" s="82" t="str">
        <f t="shared" si="34"/>
        <v/>
      </c>
      <c r="AK308" s="84"/>
      <c r="AL308" s="85" t="s">
        <v>21</v>
      </c>
      <c r="AM308" s="86"/>
      <c r="AN308" s="85"/>
      <c r="AO308" s="87"/>
      <c r="AP308" s="85"/>
      <c r="AQ308" s="86"/>
      <c r="AR308" s="85"/>
    </row>
    <row r="309" spans="1:44" ht="15.75" customHeight="1">
      <c r="A309" s="54"/>
      <c r="B309" s="100"/>
      <c r="C309" s="55"/>
      <c r="D309" s="55"/>
      <c r="E309" s="56"/>
      <c r="F309" s="55"/>
      <c r="G309" s="56"/>
      <c r="H309" s="55"/>
      <c r="I309" s="64"/>
      <c r="J309" s="57" t="str">
        <f t="shared" si="35"/>
        <v/>
      </c>
      <c r="K309" s="57" t="str">
        <f t="shared" si="36"/>
        <v/>
      </c>
      <c r="L309" s="57" t="str">
        <f xml:space="preserve">
IF(OR('Dados da OS'!$D$8=Parâmetros!$B$3,'Dados da OS'!$D$8=Parâmetros!$B$4),
  IF(OR(ISBLANK(D309),ISBLANK(F309)),
     IF(OR(B309="ALI",B309="AIE"),"L",IF(ISBLANK(B309),"","A")),
     IF(B309="EE",IF(F309&gt;=3,IF(D309&gt;=5,"H","A"),
     IF(F309&gt;=2,IF(D309&gt;=16,"H",IF(D309&lt;=4,"L","A")),IF(D309&lt;=15,"L","A"))),
     IF(OR(B309="SE",B309="CE"),IF(F309&gt;=4,IF(D309&gt;=6,"H","A"),IF(F309&gt;=2,IF(D309&gt;=20,"H",IF(D309&lt;=5,"L","A")),IF(D309&lt;=19,"L","A"))),
     IF(OR(B309="ALI",B309="AIE"),IF(F309&gt;=6,IF(D309&gt;=20,"H","A"),IF(F309&gt;=2,IF(D309&gt;=51,"H",IF(D309&lt;=19,"L","A")),IF(D309&lt;=50,"L","A"))))))),
IF('Dados da OS'!$D$8=Parâmetros!$B$6,"Indicativa",
IF('Dados da OS'!$D$8=Parâmetros!$B$5,"PFS","")))</f>
        <v/>
      </c>
      <c r="M309" s="57">
        <f>IFERROR(VLOOKUP(C309,'Fatores de Impacto e INMs'!$A$3:$D$32,3,0),1)</f>
        <v>1</v>
      </c>
      <c r="N309" s="57">
        <f>IFERROR(VLOOKUP(C309,'Fatores de Impacto e INMs'!$A$3:$E$32,5,0),1)</f>
        <v>1</v>
      </c>
      <c r="O309" s="63" t="str">
        <f xml:space="preserve">
IF(OR('Dados da OS'!$D$8="Selecione o tipo da contagem",ISBLANK('Dados da OS'!$D$8),B309="INM",B309="N/A",ISBLANK(B309),ISBLANK(C309),N309="VF"),"-",
   IF('Dados da OS'!$D$8=Parâmetros!$B$3,
      IF(OR(ISBLANK(D309),ISBLANK(F309)),"-",
         IF(L309="L","Baixa",IF(L309="A","Média",IF(L309="H","Alta","-")))),
      IF('Dados da OS'!$D$8=Parâmetros!$B$4,
         IF(OR(B309="ALI",B309="AIE"),"Baixa",IF(OR(B309="EE",B309="SE",B309="CE"),"Média","-")),
         IF(OR('Dados da OS'!$D$8=Parâmetros!$B$5,'Dados da OS'!$D$8=Parâmetros!$B$6),"-"))))</f>
        <v>-</v>
      </c>
      <c r="P309" s="59" t="str">
        <f xml:space="preserve">
IF(OR(ISBLANK(B309),ISBLANK(C309),B309="N/A",ISBLANK('Dados da OS'!$D$8)),"",
   IF(OR('Dados da OS'!$D$8=Parâmetros!$B$3,'Dados da OS'!$D$8=Parâmetros!$B$4),
      IF(OR(AND(B309="INM",N309&lt;&gt;"VF"),AND(N309="VF",B309&lt;&gt;"INM")),"",
        IF(AND(B309="INM",N309="VF"),IF(ISBLANK(H309),"",M309*H309),
        IF('Dados da OS'!$D$8=Parâmetros!$B$4,
           IF(OR(B309="CE",B309="EE"),4,IF(B309="SE",5,IF(B309="ALI",7,IF(B309="AIE",5,"")))),
        IF('Dados da OS'!$D$8=Parâmetros!$B$3,
           IF(OR(ISBLANK(D309),ISBLANK(F309)),"",
              IF(B309="ALI",IF(L309="L",7,IF(L309="A",10,15)),
                 IF(B309="AIE",IF(L309="L",5,IF(L309="A",7,10)),
                    IF(B309="SE",IF(L309="L",4,IF(L309="A",5,7)),
                       IF(OR(B309="EE",B309="CE"),IF(L309="L",3,IF(L309="A",4,6)),""))))))))),
   IF('Dados da OS'!$D$8=Parâmetros!$B$5,
      IF(OR(AND(B309="INM",N309&lt;&gt;"VF"),AND(N309="VF",B309&lt;&gt;"INM")),"",
         IF(B309="INM",IF(N309="VF",M309*H309,""),
            IF(B309="PE",4.6,
            IF(B309="AL",7,"")))),
   IF('Dados da OS'!$D$8=Parâmetros!$B$6,
      IF(B309="ALI",35,IF(B309="AIE",15,"")),""))
    )
)</f>
        <v/>
      </c>
      <c r="Q309" s="60" t="str">
        <f t="shared" si="31"/>
        <v/>
      </c>
      <c r="R309" s="61"/>
      <c r="S309" s="62"/>
      <c r="T309" s="80" t="s">
        <v>21</v>
      </c>
      <c r="U309" s="81"/>
      <c r="V309" s="99"/>
      <c r="W309" s="55"/>
      <c r="X309" s="55"/>
      <c r="Y309" s="56"/>
      <c r="Z309" s="55"/>
      <c r="AA309" s="56"/>
      <c r="AB309" s="55"/>
      <c r="AC309" s="57" t="str">
        <f t="shared" si="32"/>
        <v/>
      </c>
      <c r="AD309" s="57" t="str">
        <f t="shared" si="33"/>
        <v/>
      </c>
      <c r="AE309" s="57" t="str">
        <f xml:space="preserve">
IF(OR('Dados da OS'!$D$8=Parâmetros!$B$3,'Dados da OS'!$D$8=Parâmetros!$B$4),
  IF(OR(ISBLANK(X309),ISBLANK(Z309)),
     IF(OR(V309="ALI",V309="AIE"),"L",IF(ISBLANK(V309),"","A")),
     IF(V309="EE",IF(Z309&gt;=3,IF(X309&gt;=5,"H","A"),
     IF(Z309&gt;=2,IF(X309&gt;=16,"H",IF(X309&lt;=4,"L","A")),IF(X309&lt;=15,"L","A"))),
     IF(OR(V309="SE",V309="CE"),IF(Z309&gt;=4,IF(X309&gt;=6,"H","A"),IF(Z309&gt;=2,IF(X309&gt;=20,"H",IF(X309&lt;=5,"L","A")),IF(X309&lt;=19,"L","A"))),
     IF(OR(V309="ALI",V309="AIE"),IF(Z309&gt;=6,IF(X309&gt;=20,"H","A"),IF(Z309&gt;=2,IF(X309&gt;=51,"H",IF(X309&lt;=19,"L","A")),IF(X309&lt;=50,"L","A"))))))),
IF('Dados da OS'!$D$8=Parâmetros!$B$6,"Indicativa",
IF('Dados da OS'!$D$8=Parâmetros!$B$5,"PFS","")))</f>
        <v/>
      </c>
      <c r="AF309" s="57">
        <f>IFERROR(VLOOKUP(W309,'Fatores de Impacto e INMs'!$A$3:$D$32,3,0),1)</f>
        <v>1</v>
      </c>
      <c r="AG309" s="57">
        <f>IFERROR(VLOOKUP(W309,'Fatores de Impacto e INMs'!$A$3:$E$32,5,0),1)</f>
        <v>1</v>
      </c>
      <c r="AH309" s="82" t="str">
        <f xml:space="preserve">
IF(OR('Dados da OS'!$D$8="Selecione o tipo da contagem",ISBLANK('Dados da OS'!$D$8),V309="INM",V309="N/A",ISBLANK(V309),ISBLANK(W309),AG309="VF"),"-",
   IF('Dados da OS'!$D$8=Parâmetros!$B$3,
      IF(OR(ISBLANK(X309),ISBLANK(Z309)),"-",
         IF(AE309="L","Baixa",IF(AE309="A","Média",IF(AE309="H","Alta","-")))),
      IF('Dados da OS'!$D$8=Parâmetros!$B$4,
         IF(OR(V309="ALI",V309="AIE"),"Baixa",IF(OR(V309="EE",V309="SE",V309="CE"),"Média","-")),
         IF(OR('Dados da OS'!$D$8=Parâmetros!$B$5,'Dados da OS'!$D$8=Parâmetros!$B$6),"-"))))</f>
        <v>-</v>
      </c>
      <c r="AI309" s="83" t="str">
        <f xml:space="preserve">
IF(OR(ISBLANK(V309),ISBLANK(U309),ISBLANK(W309),V309="N/A",ISBLANK('Dados da OS'!$D$8)),"",
   IF(OR('Dados da OS'!$D$8=Parâmetros!$B$3,'Dados da OS'!$D$8=Parâmetros!$B$4),
      IF(OR(AND(V309="INM",AG309&lt;&gt;"VF"),AND(AG309="VF",V309&lt;&gt;"INM")),"",
        IF(AND(V309="INM",AG309="VF"),IF(ISBLANK(AB309),"",AF309*AB309),
        IF('Dados da OS'!$D$8=Parâmetros!$B$4,
           IF(OR(V309="CE",V309="EE"),4,IF(V309="SE",5,IF(V309="ALI",7,IF(V309="AIE",5,"")))),
        IF('Dados da OS'!$D$8=Parâmetros!$B$3,
           IF(OR(ISBLANK(X309),ISBLANK(Z309)),"",
              IF(V309="ALI",IF(AE309="L",7,IF(AE309="A",10,15)),
                 IF(V309="AIE",IF(AE309="L",5,IF(AE309="A",7,10)),
                    IF(V309="SE",IF(AE309="L",4,IF(AE309="A",5,7)),
                       IF(OR(V309="EE",V309="CE"),IF(AE309="L",3,IF(AE309="A",4,6)),""))))))))),
   IF('Dados da OS'!$D$8=Parâmetros!$B$5,
      IF(OR(AND(V309="INM",AG309&lt;&gt;"VF"),AND(AG309="VF",V309&lt;&gt;"INM")),"",
         IF(V309="INM",IF(AG309="VF",AF309*AB309,""),
            IF(V309="PE",4.6,
            IF(V309="AL",7,"")))),
   IF('Dados da OS'!$D$8=Parâmetros!$B$6,
      IF(V309="ALI",35,IF(V309="AIE",15,"")),""))
    )
)</f>
        <v/>
      </c>
      <c r="AJ309" s="82" t="str">
        <f t="shared" si="34"/>
        <v/>
      </c>
      <c r="AK309" s="84"/>
      <c r="AL309" s="85" t="s">
        <v>21</v>
      </c>
      <c r="AM309" s="86"/>
      <c r="AN309" s="85"/>
      <c r="AO309" s="87"/>
      <c r="AP309" s="85"/>
      <c r="AQ309" s="86"/>
      <c r="AR309" s="85"/>
    </row>
    <row r="310" spans="1:44" ht="15.75" customHeight="1">
      <c r="A310" s="54"/>
      <c r="B310" s="100"/>
      <c r="C310" s="55"/>
      <c r="D310" s="55"/>
      <c r="E310" s="56"/>
      <c r="F310" s="55"/>
      <c r="G310" s="56"/>
      <c r="H310" s="55"/>
      <c r="I310" s="64"/>
      <c r="J310" s="57" t="str">
        <f t="shared" si="35"/>
        <v/>
      </c>
      <c r="K310" s="57" t="str">
        <f t="shared" si="36"/>
        <v/>
      </c>
      <c r="L310" s="57" t="str">
        <f xml:space="preserve">
IF(OR('Dados da OS'!$D$8=Parâmetros!$B$3,'Dados da OS'!$D$8=Parâmetros!$B$4),
  IF(OR(ISBLANK(D310),ISBLANK(F310)),
     IF(OR(B310="ALI",B310="AIE"),"L",IF(ISBLANK(B310),"","A")),
     IF(B310="EE",IF(F310&gt;=3,IF(D310&gt;=5,"H","A"),
     IF(F310&gt;=2,IF(D310&gt;=16,"H",IF(D310&lt;=4,"L","A")),IF(D310&lt;=15,"L","A"))),
     IF(OR(B310="SE",B310="CE"),IF(F310&gt;=4,IF(D310&gt;=6,"H","A"),IF(F310&gt;=2,IF(D310&gt;=20,"H",IF(D310&lt;=5,"L","A")),IF(D310&lt;=19,"L","A"))),
     IF(OR(B310="ALI",B310="AIE"),IF(F310&gt;=6,IF(D310&gt;=20,"H","A"),IF(F310&gt;=2,IF(D310&gt;=51,"H",IF(D310&lt;=19,"L","A")),IF(D310&lt;=50,"L","A"))))))),
IF('Dados da OS'!$D$8=Parâmetros!$B$6,"Indicativa",
IF('Dados da OS'!$D$8=Parâmetros!$B$5,"PFS","")))</f>
        <v/>
      </c>
      <c r="M310" s="57">
        <f>IFERROR(VLOOKUP(C310,'Fatores de Impacto e INMs'!$A$3:$D$32,3,0),1)</f>
        <v>1</v>
      </c>
      <c r="N310" s="57">
        <f>IFERROR(VLOOKUP(C310,'Fatores de Impacto e INMs'!$A$3:$E$32,5,0),1)</f>
        <v>1</v>
      </c>
      <c r="O310" s="63" t="str">
        <f xml:space="preserve">
IF(OR('Dados da OS'!$D$8="Selecione o tipo da contagem",ISBLANK('Dados da OS'!$D$8),B310="INM",B310="N/A",ISBLANK(B310),ISBLANK(C310),N310="VF"),"-",
   IF('Dados da OS'!$D$8=Parâmetros!$B$3,
      IF(OR(ISBLANK(D310),ISBLANK(F310)),"-",
         IF(L310="L","Baixa",IF(L310="A","Média",IF(L310="H","Alta","-")))),
      IF('Dados da OS'!$D$8=Parâmetros!$B$4,
         IF(OR(B310="ALI",B310="AIE"),"Baixa",IF(OR(B310="EE",B310="SE",B310="CE"),"Média","-")),
         IF(OR('Dados da OS'!$D$8=Parâmetros!$B$5,'Dados da OS'!$D$8=Parâmetros!$B$6),"-"))))</f>
        <v>-</v>
      </c>
      <c r="P310" s="59" t="str">
        <f xml:space="preserve">
IF(OR(ISBLANK(B310),ISBLANK(C310),B310="N/A",ISBLANK('Dados da OS'!$D$8)),"",
   IF(OR('Dados da OS'!$D$8=Parâmetros!$B$3,'Dados da OS'!$D$8=Parâmetros!$B$4),
      IF(OR(AND(B310="INM",N310&lt;&gt;"VF"),AND(N310="VF",B310&lt;&gt;"INM")),"",
        IF(AND(B310="INM",N310="VF"),IF(ISBLANK(H310),"",M310*H310),
        IF('Dados da OS'!$D$8=Parâmetros!$B$4,
           IF(OR(B310="CE",B310="EE"),4,IF(B310="SE",5,IF(B310="ALI",7,IF(B310="AIE",5,"")))),
        IF('Dados da OS'!$D$8=Parâmetros!$B$3,
           IF(OR(ISBLANK(D310),ISBLANK(F310)),"",
              IF(B310="ALI",IF(L310="L",7,IF(L310="A",10,15)),
                 IF(B310="AIE",IF(L310="L",5,IF(L310="A",7,10)),
                    IF(B310="SE",IF(L310="L",4,IF(L310="A",5,7)),
                       IF(OR(B310="EE",B310="CE"),IF(L310="L",3,IF(L310="A",4,6)),""))))))))),
   IF('Dados da OS'!$D$8=Parâmetros!$B$5,
      IF(OR(AND(B310="INM",N310&lt;&gt;"VF"),AND(N310="VF",B310&lt;&gt;"INM")),"",
         IF(B310="INM",IF(N310="VF",M310*H310,""),
            IF(B310="PE",4.6,
            IF(B310="AL",7,"")))),
   IF('Dados da OS'!$D$8=Parâmetros!$B$6,
      IF(B310="ALI",35,IF(B310="AIE",15,"")),""))
    )
)</f>
        <v/>
      </c>
      <c r="Q310" s="60" t="str">
        <f t="shared" si="31"/>
        <v/>
      </c>
      <c r="R310" s="61"/>
      <c r="S310" s="62"/>
      <c r="T310" s="80" t="s">
        <v>21</v>
      </c>
      <c r="U310" s="81"/>
      <c r="V310" s="99"/>
      <c r="W310" s="55"/>
      <c r="X310" s="55"/>
      <c r="Y310" s="56"/>
      <c r="Z310" s="55"/>
      <c r="AA310" s="56"/>
      <c r="AB310" s="55"/>
      <c r="AC310" s="57" t="str">
        <f t="shared" si="32"/>
        <v/>
      </c>
      <c r="AD310" s="57" t="str">
        <f t="shared" si="33"/>
        <v/>
      </c>
      <c r="AE310" s="57" t="str">
        <f xml:space="preserve">
IF(OR('Dados da OS'!$D$8=Parâmetros!$B$3,'Dados da OS'!$D$8=Parâmetros!$B$4),
  IF(OR(ISBLANK(X310),ISBLANK(Z310)),
     IF(OR(V310="ALI",V310="AIE"),"L",IF(ISBLANK(V310),"","A")),
     IF(V310="EE",IF(Z310&gt;=3,IF(X310&gt;=5,"H","A"),
     IF(Z310&gt;=2,IF(X310&gt;=16,"H",IF(X310&lt;=4,"L","A")),IF(X310&lt;=15,"L","A"))),
     IF(OR(V310="SE",V310="CE"),IF(Z310&gt;=4,IF(X310&gt;=6,"H","A"),IF(Z310&gt;=2,IF(X310&gt;=20,"H",IF(X310&lt;=5,"L","A")),IF(X310&lt;=19,"L","A"))),
     IF(OR(V310="ALI",V310="AIE"),IF(Z310&gt;=6,IF(X310&gt;=20,"H","A"),IF(Z310&gt;=2,IF(X310&gt;=51,"H",IF(X310&lt;=19,"L","A")),IF(X310&lt;=50,"L","A"))))))),
IF('Dados da OS'!$D$8=Parâmetros!$B$6,"Indicativa",
IF('Dados da OS'!$D$8=Parâmetros!$B$5,"PFS","")))</f>
        <v/>
      </c>
      <c r="AF310" s="57">
        <f>IFERROR(VLOOKUP(W310,'Fatores de Impacto e INMs'!$A$3:$D$32,3,0),1)</f>
        <v>1</v>
      </c>
      <c r="AG310" s="57">
        <f>IFERROR(VLOOKUP(W310,'Fatores de Impacto e INMs'!$A$3:$E$32,5,0),1)</f>
        <v>1</v>
      </c>
      <c r="AH310" s="82" t="str">
        <f xml:space="preserve">
IF(OR('Dados da OS'!$D$8="Selecione o tipo da contagem",ISBLANK('Dados da OS'!$D$8),V310="INM",V310="N/A",ISBLANK(V310),ISBLANK(W310),AG310="VF"),"-",
   IF('Dados da OS'!$D$8=Parâmetros!$B$3,
      IF(OR(ISBLANK(X310),ISBLANK(Z310)),"-",
         IF(AE310="L","Baixa",IF(AE310="A","Média",IF(AE310="H","Alta","-")))),
      IF('Dados da OS'!$D$8=Parâmetros!$B$4,
         IF(OR(V310="ALI",V310="AIE"),"Baixa",IF(OR(V310="EE",V310="SE",V310="CE"),"Média","-")),
         IF(OR('Dados da OS'!$D$8=Parâmetros!$B$5,'Dados da OS'!$D$8=Parâmetros!$B$6),"-"))))</f>
        <v>-</v>
      </c>
      <c r="AI310" s="83" t="str">
        <f xml:space="preserve">
IF(OR(ISBLANK(V310),ISBLANK(U310),ISBLANK(W310),V310="N/A",ISBLANK('Dados da OS'!$D$8)),"",
   IF(OR('Dados da OS'!$D$8=Parâmetros!$B$3,'Dados da OS'!$D$8=Parâmetros!$B$4),
      IF(OR(AND(V310="INM",AG310&lt;&gt;"VF"),AND(AG310="VF",V310&lt;&gt;"INM")),"",
        IF(AND(V310="INM",AG310="VF"),IF(ISBLANK(AB310),"",AF310*AB310),
        IF('Dados da OS'!$D$8=Parâmetros!$B$4,
           IF(OR(V310="CE",V310="EE"),4,IF(V310="SE",5,IF(V310="ALI",7,IF(V310="AIE",5,"")))),
        IF('Dados da OS'!$D$8=Parâmetros!$B$3,
           IF(OR(ISBLANK(X310),ISBLANK(Z310)),"",
              IF(V310="ALI",IF(AE310="L",7,IF(AE310="A",10,15)),
                 IF(V310="AIE",IF(AE310="L",5,IF(AE310="A",7,10)),
                    IF(V310="SE",IF(AE310="L",4,IF(AE310="A",5,7)),
                       IF(OR(V310="EE",V310="CE"),IF(AE310="L",3,IF(AE310="A",4,6)),""))))))))),
   IF('Dados da OS'!$D$8=Parâmetros!$B$5,
      IF(OR(AND(V310="INM",AG310&lt;&gt;"VF"),AND(AG310="VF",V310&lt;&gt;"INM")),"",
         IF(V310="INM",IF(AG310="VF",AF310*AB310,""),
            IF(V310="PE",4.6,
            IF(V310="AL",7,"")))),
   IF('Dados da OS'!$D$8=Parâmetros!$B$6,
      IF(V310="ALI",35,IF(V310="AIE",15,"")),""))
    )
)</f>
        <v/>
      </c>
      <c r="AJ310" s="82" t="str">
        <f t="shared" si="34"/>
        <v/>
      </c>
      <c r="AK310" s="84"/>
      <c r="AL310" s="85" t="s">
        <v>21</v>
      </c>
      <c r="AM310" s="86"/>
      <c r="AN310" s="85"/>
      <c r="AO310" s="87"/>
      <c r="AP310" s="85"/>
      <c r="AQ310" s="86"/>
      <c r="AR310" s="85"/>
    </row>
    <row r="311" spans="1:44" ht="15.75" customHeight="1">
      <c r="A311" s="54"/>
      <c r="B311" s="100"/>
      <c r="C311" s="55"/>
      <c r="D311" s="55"/>
      <c r="E311" s="56"/>
      <c r="F311" s="55"/>
      <c r="G311" s="56"/>
      <c r="H311" s="55"/>
      <c r="I311" s="64"/>
      <c r="J311" s="57" t="str">
        <f t="shared" si="35"/>
        <v/>
      </c>
      <c r="K311" s="57" t="str">
        <f t="shared" si="36"/>
        <v/>
      </c>
      <c r="L311" s="57" t="str">
        <f xml:space="preserve">
IF(OR('Dados da OS'!$D$8=Parâmetros!$B$3,'Dados da OS'!$D$8=Parâmetros!$B$4),
  IF(OR(ISBLANK(D311),ISBLANK(F311)),
     IF(OR(B311="ALI",B311="AIE"),"L",IF(ISBLANK(B311),"","A")),
     IF(B311="EE",IF(F311&gt;=3,IF(D311&gt;=5,"H","A"),
     IF(F311&gt;=2,IF(D311&gt;=16,"H",IF(D311&lt;=4,"L","A")),IF(D311&lt;=15,"L","A"))),
     IF(OR(B311="SE",B311="CE"),IF(F311&gt;=4,IF(D311&gt;=6,"H","A"),IF(F311&gt;=2,IF(D311&gt;=20,"H",IF(D311&lt;=5,"L","A")),IF(D311&lt;=19,"L","A"))),
     IF(OR(B311="ALI",B311="AIE"),IF(F311&gt;=6,IF(D311&gt;=20,"H","A"),IF(F311&gt;=2,IF(D311&gt;=51,"H",IF(D311&lt;=19,"L","A")),IF(D311&lt;=50,"L","A"))))))),
IF('Dados da OS'!$D$8=Parâmetros!$B$6,"Indicativa",
IF('Dados da OS'!$D$8=Parâmetros!$B$5,"PFS","")))</f>
        <v/>
      </c>
      <c r="M311" s="57">
        <f>IFERROR(VLOOKUP(C311,'Fatores de Impacto e INMs'!$A$3:$D$32,3,0),1)</f>
        <v>1</v>
      </c>
      <c r="N311" s="57">
        <f>IFERROR(VLOOKUP(C311,'Fatores de Impacto e INMs'!$A$3:$E$32,5,0),1)</f>
        <v>1</v>
      </c>
      <c r="O311" s="63" t="str">
        <f xml:space="preserve">
IF(OR('Dados da OS'!$D$8="Selecione o tipo da contagem",ISBLANK('Dados da OS'!$D$8),B311="INM",B311="N/A",ISBLANK(B311),ISBLANK(C311),N311="VF"),"-",
   IF('Dados da OS'!$D$8=Parâmetros!$B$3,
      IF(OR(ISBLANK(D311),ISBLANK(F311)),"-",
         IF(L311="L","Baixa",IF(L311="A","Média",IF(L311="H","Alta","-")))),
      IF('Dados da OS'!$D$8=Parâmetros!$B$4,
         IF(OR(B311="ALI",B311="AIE"),"Baixa",IF(OR(B311="EE",B311="SE",B311="CE"),"Média","-")),
         IF(OR('Dados da OS'!$D$8=Parâmetros!$B$5,'Dados da OS'!$D$8=Parâmetros!$B$6),"-"))))</f>
        <v>-</v>
      </c>
      <c r="P311" s="59" t="str">
        <f xml:space="preserve">
IF(OR(ISBLANK(B311),ISBLANK(C311),B311="N/A",ISBLANK('Dados da OS'!$D$8)),"",
   IF(OR('Dados da OS'!$D$8=Parâmetros!$B$3,'Dados da OS'!$D$8=Parâmetros!$B$4),
      IF(OR(AND(B311="INM",N311&lt;&gt;"VF"),AND(N311="VF",B311&lt;&gt;"INM")),"",
        IF(AND(B311="INM",N311="VF"),IF(ISBLANK(H311),"",M311*H311),
        IF('Dados da OS'!$D$8=Parâmetros!$B$4,
           IF(OR(B311="CE",B311="EE"),4,IF(B311="SE",5,IF(B311="ALI",7,IF(B311="AIE",5,"")))),
        IF('Dados da OS'!$D$8=Parâmetros!$B$3,
           IF(OR(ISBLANK(D311),ISBLANK(F311)),"",
              IF(B311="ALI",IF(L311="L",7,IF(L311="A",10,15)),
                 IF(B311="AIE",IF(L311="L",5,IF(L311="A",7,10)),
                    IF(B311="SE",IF(L311="L",4,IF(L311="A",5,7)),
                       IF(OR(B311="EE",B311="CE"),IF(L311="L",3,IF(L311="A",4,6)),""))))))))),
   IF('Dados da OS'!$D$8=Parâmetros!$B$5,
      IF(OR(AND(B311="INM",N311&lt;&gt;"VF"),AND(N311="VF",B311&lt;&gt;"INM")),"",
         IF(B311="INM",IF(N311="VF",M311*H311,""),
            IF(B311="PE",4.6,
            IF(B311="AL",7,"")))),
   IF('Dados da OS'!$D$8=Parâmetros!$B$6,
      IF(B311="ALI",35,IF(B311="AIE",15,"")),""))
    )
)</f>
        <v/>
      </c>
      <c r="Q311" s="60" t="str">
        <f t="shared" si="31"/>
        <v/>
      </c>
      <c r="R311" s="61"/>
      <c r="S311" s="62"/>
      <c r="T311" s="80" t="s">
        <v>21</v>
      </c>
      <c r="U311" s="81"/>
      <c r="V311" s="99"/>
      <c r="W311" s="55"/>
      <c r="X311" s="55"/>
      <c r="Y311" s="56"/>
      <c r="Z311" s="55"/>
      <c r="AA311" s="56"/>
      <c r="AB311" s="55"/>
      <c r="AC311" s="57" t="str">
        <f t="shared" si="32"/>
        <v/>
      </c>
      <c r="AD311" s="57" t="str">
        <f t="shared" si="33"/>
        <v/>
      </c>
      <c r="AE311" s="57" t="str">
        <f xml:space="preserve">
IF(OR('Dados da OS'!$D$8=Parâmetros!$B$3,'Dados da OS'!$D$8=Parâmetros!$B$4),
  IF(OR(ISBLANK(X311),ISBLANK(Z311)),
     IF(OR(V311="ALI",V311="AIE"),"L",IF(ISBLANK(V311),"","A")),
     IF(V311="EE",IF(Z311&gt;=3,IF(X311&gt;=5,"H","A"),
     IF(Z311&gt;=2,IF(X311&gt;=16,"H",IF(X311&lt;=4,"L","A")),IF(X311&lt;=15,"L","A"))),
     IF(OR(V311="SE",V311="CE"),IF(Z311&gt;=4,IF(X311&gt;=6,"H","A"),IF(Z311&gt;=2,IF(X311&gt;=20,"H",IF(X311&lt;=5,"L","A")),IF(X311&lt;=19,"L","A"))),
     IF(OR(V311="ALI",V311="AIE"),IF(Z311&gt;=6,IF(X311&gt;=20,"H","A"),IF(Z311&gt;=2,IF(X311&gt;=51,"H",IF(X311&lt;=19,"L","A")),IF(X311&lt;=50,"L","A"))))))),
IF('Dados da OS'!$D$8=Parâmetros!$B$6,"Indicativa",
IF('Dados da OS'!$D$8=Parâmetros!$B$5,"PFS","")))</f>
        <v/>
      </c>
      <c r="AF311" s="57">
        <f>IFERROR(VLOOKUP(W311,'Fatores de Impacto e INMs'!$A$3:$D$32,3,0),1)</f>
        <v>1</v>
      </c>
      <c r="AG311" s="57">
        <f>IFERROR(VLOOKUP(W311,'Fatores de Impacto e INMs'!$A$3:$E$32,5,0),1)</f>
        <v>1</v>
      </c>
      <c r="AH311" s="82" t="str">
        <f xml:space="preserve">
IF(OR('Dados da OS'!$D$8="Selecione o tipo da contagem",ISBLANK('Dados da OS'!$D$8),V311="INM",V311="N/A",ISBLANK(V311),ISBLANK(W311),AG311="VF"),"-",
   IF('Dados da OS'!$D$8=Parâmetros!$B$3,
      IF(OR(ISBLANK(X311),ISBLANK(Z311)),"-",
         IF(AE311="L","Baixa",IF(AE311="A","Média",IF(AE311="H","Alta","-")))),
      IF('Dados da OS'!$D$8=Parâmetros!$B$4,
         IF(OR(V311="ALI",V311="AIE"),"Baixa",IF(OR(V311="EE",V311="SE",V311="CE"),"Média","-")),
         IF(OR('Dados da OS'!$D$8=Parâmetros!$B$5,'Dados da OS'!$D$8=Parâmetros!$B$6),"-"))))</f>
        <v>-</v>
      </c>
      <c r="AI311" s="83" t="str">
        <f xml:space="preserve">
IF(OR(ISBLANK(V311),ISBLANK(U311),ISBLANK(W311),V311="N/A",ISBLANK('Dados da OS'!$D$8)),"",
   IF(OR('Dados da OS'!$D$8=Parâmetros!$B$3,'Dados da OS'!$D$8=Parâmetros!$B$4),
      IF(OR(AND(V311="INM",AG311&lt;&gt;"VF"),AND(AG311="VF",V311&lt;&gt;"INM")),"",
        IF(AND(V311="INM",AG311="VF"),IF(ISBLANK(AB311),"",AF311*AB311),
        IF('Dados da OS'!$D$8=Parâmetros!$B$4,
           IF(OR(V311="CE",V311="EE"),4,IF(V311="SE",5,IF(V311="ALI",7,IF(V311="AIE",5,"")))),
        IF('Dados da OS'!$D$8=Parâmetros!$B$3,
           IF(OR(ISBLANK(X311),ISBLANK(Z311)),"",
              IF(V311="ALI",IF(AE311="L",7,IF(AE311="A",10,15)),
                 IF(V311="AIE",IF(AE311="L",5,IF(AE311="A",7,10)),
                    IF(V311="SE",IF(AE311="L",4,IF(AE311="A",5,7)),
                       IF(OR(V311="EE",V311="CE"),IF(AE311="L",3,IF(AE311="A",4,6)),""))))))))),
   IF('Dados da OS'!$D$8=Parâmetros!$B$5,
      IF(OR(AND(V311="INM",AG311&lt;&gt;"VF"),AND(AG311="VF",V311&lt;&gt;"INM")),"",
         IF(V311="INM",IF(AG311="VF",AF311*AB311,""),
            IF(V311="PE",4.6,
            IF(V311="AL",7,"")))),
   IF('Dados da OS'!$D$8=Parâmetros!$B$6,
      IF(V311="ALI",35,IF(V311="AIE",15,"")),""))
    )
)</f>
        <v/>
      </c>
      <c r="AJ311" s="82" t="str">
        <f t="shared" si="34"/>
        <v/>
      </c>
      <c r="AK311" s="84"/>
      <c r="AL311" s="85" t="s">
        <v>21</v>
      </c>
      <c r="AM311" s="86"/>
      <c r="AN311" s="85"/>
      <c r="AO311" s="87"/>
      <c r="AP311" s="85"/>
      <c r="AQ311" s="86"/>
      <c r="AR311" s="85"/>
    </row>
    <row r="312" spans="1:44" ht="15.75" customHeight="1">
      <c r="A312" s="54"/>
      <c r="B312" s="100"/>
      <c r="C312" s="55"/>
      <c r="D312" s="55"/>
      <c r="E312" s="56"/>
      <c r="F312" s="55"/>
      <c r="G312" s="56"/>
      <c r="H312" s="55"/>
      <c r="I312" s="64"/>
      <c r="J312" s="57" t="str">
        <f t="shared" si="35"/>
        <v/>
      </c>
      <c r="K312" s="57" t="str">
        <f t="shared" si="36"/>
        <v/>
      </c>
      <c r="L312" s="57" t="str">
        <f xml:space="preserve">
IF(OR('Dados da OS'!$D$8=Parâmetros!$B$3,'Dados da OS'!$D$8=Parâmetros!$B$4),
  IF(OR(ISBLANK(D312),ISBLANK(F312)),
     IF(OR(B312="ALI",B312="AIE"),"L",IF(ISBLANK(B312),"","A")),
     IF(B312="EE",IF(F312&gt;=3,IF(D312&gt;=5,"H","A"),
     IF(F312&gt;=2,IF(D312&gt;=16,"H",IF(D312&lt;=4,"L","A")),IF(D312&lt;=15,"L","A"))),
     IF(OR(B312="SE",B312="CE"),IF(F312&gt;=4,IF(D312&gt;=6,"H","A"),IF(F312&gt;=2,IF(D312&gt;=20,"H",IF(D312&lt;=5,"L","A")),IF(D312&lt;=19,"L","A"))),
     IF(OR(B312="ALI",B312="AIE"),IF(F312&gt;=6,IF(D312&gt;=20,"H","A"),IF(F312&gt;=2,IF(D312&gt;=51,"H",IF(D312&lt;=19,"L","A")),IF(D312&lt;=50,"L","A"))))))),
IF('Dados da OS'!$D$8=Parâmetros!$B$6,"Indicativa",
IF('Dados da OS'!$D$8=Parâmetros!$B$5,"PFS","")))</f>
        <v/>
      </c>
      <c r="M312" s="57">
        <f>IFERROR(VLOOKUP(C312,'Fatores de Impacto e INMs'!$A$3:$D$32,3,0),1)</f>
        <v>1</v>
      </c>
      <c r="N312" s="57">
        <f>IFERROR(VLOOKUP(C312,'Fatores de Impacto e INMs'!$A$3:$E$32,5,0),1)</f>
        <v>1</v>
      </c>
      <c r="O312" s="63" t="str">
        <f xml:space="preserve">
IF(OR('Dados da OS'!$D$8="Selecione o tipo da contagem",ISBLANK('Dados da OS'!$D$8),B312="INM",B312="N/A",ISBLANK(B312),ISBLANK(C312),N312="VF"),"-",
   IF('Dados da OS'!$D$8=Parâmetros!$B$3,
      IF(OR(ISBLANK(D312),ISBLANK(F312)),"-",
         IF(L312="L","Baixa",IF(L312="A","Média",IF(L312="H","Alta","-")))),
      IF('Dados da OS'!$D$8=Parâmetros!$B$4,
         IF(OR(B312="ALI",B312="AIE"),"Baixa",IF(OR(B312="EE",B312="SE",B312="CE"),"Média","-")),
         IF(OR('Dados da OS'!$D$8=Parâmetros!$B$5,'Dados da OS'!$D$8=Parâmetros!$B$6),"-"))))</f>
        <v>-</v>
      </c>
      <c r="P312" s="59" t="str">
        <f xml:space="preserve">
IF(OR(ISBLANK(B312),ISBLANK(C312),B312="N/A",ISBLANK('Dados da OS'!$D$8)),"",
   IF(OR('Dados da OS'!$D$8=Parâmetros!$B$3,'Dados da OS'!$D$8=Parâmetros!$B$4),
      IF(OR(AND(B312="INM",N312&lt;&gt;"VF"),AND(N312="VF",B312&lt;&gt;"INM")),"",
        IF(AND(B312="INM",N312="VF"),IF(ISBLANK(H312),"",M312*H312),
        IF('Dados da OS'!$D$8=Parâmetros!$B$4,
           IF(OR(B312="CE",B312="EE"),4,IF(B312="SE",5,IF(B312="ALI",7,IF(B312="AIE",5,"")))),
        IF('Dados da OS'!$D$8=Parâmetros!$B$3,
           IF(OR(ISBLANK(D312),ISBLANK(F312)),"",
              IF(B312="ALI",IF(L312="L",7,IF(L312="A",10,15)),
                 IF(B312="AIE",IF(L312="L",5,IF(L312="A",7,10)),
                    IF(B312="SE",IF(L312="L",4,IF(L312="A",5,7)),
                       IF(OR(B312="EE",B312="CE"),IF(L312="L",3,IF(L312="A",4,6)),""))))))))),
   IF('Dados da OS'!$D$8=Parâmetros!$B$5,
      IF(OR(AND(B312="INM",N312&lt;&gt;"VF"),AND(N312="VF",B312&lt;&gt;"INM")),"",
         IF(B312="INM",IF(N312="VF",M312*H312,""),
            IF(B312="PE",4.6,
            IF(B312="AL",7,"")))),
   IF('Dados da OS'!$D$8=Parâmetros!$B$6,
      IF(B312="ALI",35,IF(B312="AIE",15,"")),""))
    )
)</f>
        <v/>
      </c>
      <c r="Q312" s="60" t="str">
        <f t="shared" si="31"/>
        <v/>
      </c>
      <c r="R312" s="61"/>
      <c r="S312" s="62"/>
      <c r="T312" s="80" t="s">
        <v>21</v>
      </c>
      <c r="U312" s="81"/>
      <c r="V312" s="99"/>
      <c r="W312" s="55"/>
      <c r="X312" s="55"/>
      <c r="Y312" s="56"/>
      <c r="Z312" s="55"/>
      <c r="AA312" s="56"/>
      <c r="AB312" s="55"/>
      <c r="AC312" s="57" t="str">
        <f t="shared" si="32"/>
        <v/>
      </c>
      <c r="AD312" s="57" t="str">
        <f t="shared" si="33"/>
        <v/>
      </c>
      <c r="AE312" s="57" t="str">
        <f xml:space="preserve">
IF(OR('Dados da OS'!$D$8=Parâmetros!$B$3,'Dados da OS'!$D$8=Parâmetros!$B$4),
  IF(OR(ISBLANK(X312),ISBLANK(Z312)),
     IF(OR(V312="ALI",V312="AIE"),"L",IF(ISBLANK(V312),"","A")),
     IF(V312="EE",IF(Z312&gt;=3,IF(X312&gt;=5,"H","A"),
     IF(Z312&gt;=2,IF(X312&gt;=16,"H",IF(X312&lt;=4,"L","A")),IF(X312&lt;=15,"L","A"))),
     IF(OR(V312="SE",V312="CE"),IF(Z312&gt;=4,IF(X312&gt;=6,"H","A"),IF(Z312&gt;=2,IF(X312&gt;=20,"H",IF(X312&lt;=5,"L","A")),IF(X312&lt;=19,"L","A"))),
     IF(OR(V312="ALI",V312="AIE"),IF(Z312&gt;=6,IF(X312&gt;=20,"H","A"),IF(Z312&gt;=2,IF(X312&gt;=51,"H",IF(X312&lt;=19,"L","A")),IF(X312&lt;=50,"L","A"))))))),
IF('Dados da OS'!$D$8=Parâmetros!$B$6,"Indicativa",
IF('Dados da OS'!$D$8=Parâmetros!$B$5,"PFS","")))</f>
        <v/>
      </c>
      <c r="AF312" s="57">
        <f>IFERROR(VLOOKUP(W312,'Fatores de Impacto e INMs'!$A$3:$D$32,3,0),1)</f>
        <v>1</v>
      </c>
      <c r="AG312" s="57">
        <f>IFERROR(VLOOKUP(W312,'Fatores de Impacto e INMs'!$A$3:$E$32,5,0),1)</f>
        <v>1</v>
      </c>
      <c r="AH312" s="82" t="str">
        <f xml:space="preserve">
IF(OR('Dados da OS'!$D$8="Selecione o tipo da contagem",ISBLANK('Dados da OS'!$D$8),V312="INM",V312="N/A",ISBLANK(V312),ISBLANK(W312),AG312="VF"),"-",
   IF('Dados da OS'!$D$8=Parâmetros!$B$3,
      IF(OR(ISBLANK(X312),ISBLANK(Z312)),"-",
         IF(AE312="L","Baixa",IF(AE312="A","Média",IF(AE312="H","Alta","-")))),
      IF('Dados da OS'!$D$8=Parâmetros!$B$4,
         IF(OR(V312="ALI",V312="AIE"),"Baixa",IF(OR(V312="EE",V312="SE",V312="CE"),"Média","-")),
         IF(OR('Dados da OS'!$D$8=Parâmetros!$B$5,'Dados da OS'!$D$8=Parâmetros!$B$6),"-"))))</f>
        <v>-</v>
      </c>
      <c r="AI312" s="83" t="str">
        <f xml:space="preserve">
IF(OR(ISBLANK(V312),ISBLANK(U312),ISBLANK(W312),V312="N/A",ISBLANK('Dados da OS'!$D$8)),"",
   IF(OR('Dados da OS'!$D$8=Parâmetros!$B$3,'Dados da OS'!$D$8=Parâmetros!$B$4),
      IF(OR(AND(V312="INM",AG312&lt;&gt;"VF"),AND(AG312="VF",V312&lt;&gt;"INM")),"",
        IF(AND(V312="INM",AG312="VF"),IF(ISBLANK(AB312),"",AF312*AB312),
        IF('Dados da OS'!$D$8=Parâmetros!$B$4,
           IF(OR(V312="CE",V312="EE"),4,IF(V312="SE",5,IF(V312="ALI",7,IF(V312="AIE",5,"")))),
        IF('Dados da OS'!$D$8=Parâmetros!$B$3,
           IF(OR(ISBLANK(X312),ISBLANK(Z312)),"",
              IF(V312="ALI",IF(AE312="L",7,IF(AE312="A",10,15)),
                 IF(V312="AIE",IF(AE312="L",5,IF(AE312="A",7,10)),
                    IF(V312="SE",IF(AE312="L",4,IF(AE312="A",5,7)),
                       IF(OR(V312="EE",V312="CE"),IF(AE312="L",3,IF(AE312="A",4,6)),""))))))))),
   IF('Dados da OS'!$D$8=Parâmetros!$B$5,
      IF(OR(AND(V312="INM",AG312&lt;&gt;"VF"),AND(AG312="VF",V312&lt;&gt;"INM")),"",
         IF(V312="INM",IF(AG312="VF",AF312*AB312,""),
            IF(V312="PE",4.6,
            IF(V312="AL",7,"")))),
   IF('Dados da OS'!$D$8=Parâmetros!$B$6,
      IF(V312="ALI",35,IF(V312="AIE",15,"")),""))
    )
)</f>
        <v/>
      </c>
      <c r="AJ312" s="82" t="str">
        <f t="shared" si="34"/>
        <v/>
      </c>
      <c r="AK312" s="84"/>
      <c r="AL312" s="85" t="s">
        <v>21</v>
      </c>
      <c r="AM312" s="86"/>
      <c r="AN312" s="85"/>
      <c r="AO312" s="87"/>
      <c r="AP312" s="85"/>
      <c r="AQ312" s="86"/>
      <c r="AR312" s="85"/>
    </row>
    <row r="313" spans="1:44" ht="15.75" customHeight="1">
      <c r="A313" s="54"/>
      <c r="B313" s="100"/>
      <c r="C313" s="55"/>
      <c r="D313" s="55"/>
      <c r="E313" s="56"/>
      <c r="F313" s="55"/>
      <c r="G313" s="56"/>
      <c r="H313" s="55"/>
      <c r="I313" s="64"/>
      <c r="J313" s="57" t="str">
        <f t="shared" si="35"/>
        <v/>
      </c>
      <c r="K313" s="57" t="str">
        <f t="shared" si="36"/>
        <v/>
      </c>
      <c r="L313" s="57" t="str">
        <f xml:space="preserve">
IF(OR('Dados da OS'!$D$8=Parâmetros!$B$3,'Dados da OS'!$D$8=Parâmetros!$B$4),
  IF(OR(ISBLANK(D313),ISBLANK(F313)),
     IF(OR(B313="ALI",B313="AIE"),"L",IF(ISBLANK(B313),"","A")),
     IF(B313="EE",IF(F313&gt;=3,IF(D313&gt;=5,"H","A"),
     IF(F313&gt;=2,IF(D313&gt;=16,"H",IF(D313&lt;=4,"L","A")),IF(D313&lt;=15,"L","A"))),
     IF(OR(B313="SE",B313="CE"),IF(F313&gt;=4,IF(D313&gt;=6,"H","A"),IF(F313&gt;=2,IF(D313&gt;=20,"H",IF(D313&lt;=5,"L","A")),IF(D313&lt;=19,"L","A"))),
     IF(OR(B313="ALI",B313="AIE"),IF(F313&gt;=6,IF(D313&gt;=20,"H","A"),IF(F313&gt;=2,IF(D313&gt;=51,"H",IF(D313&lt;=19,"L","A")),IF(D313&lt;=50,"L","A"))))))),
IF('Dados da OS'!$D$8=Parâmetros!$B$6,"Indicativa",
IF('Dados da OS'!$D$8=Parâmetros!$B$5,"PFS","")))</f>
        <v/>
      </c>
      <c r="M313" s="57">
        <f>IFERROR(VLOOKUP(C313,'Fatores de Impacto e INMs'!$A$3:$D$32,3,0),1)</f>
        <v>1</v>
      </c>
      <c r="N313" s="57">
        <f>IFERROR(VLOOKUP(C313,'Fatores de Impacto e INMs'!$A$3:$E$32,5,0),1)</f>
        <v>1</v>
      </c>
      <c r="O313" s="63" t="str">
        <f xml:space="preserve">
IF(OR('Dados da OS'!$D$8="Selecione o tipo da contagem",ISBLANK('Dados da OS'!$D$8),B313="INM",B313="N/A",ISBLANK(B313),ISBLANK(C313),N313="VF"),"-",
   IF('Dados da OS'!$D$8=Parâmetros!$B$3,
      IF(OR(ISBLANK(D313),ISBLANK(F313)),"-",
         IF(L313="L","Baixa",IF(L313="A","Média",IF(L313="H","Alta","-")))),
      IF('Dados da OS'!$D$8=Parâmetros!$B$4,
         IF(OR(B313="ALI",B313="AIE"),"Baixa",IF(OR(B313="EE",B313="SE",B313="CE"),"Média","-")),
         IF(OR('Dados da OS'!$D$8=Parâmetros!$B$5,'Dados da OS'!$D$8=Parâmetros!$B$6),"-"))))</f>
        <v>-</v>
      </c>
      <c r="P313" s="59" t="str">
        <f xml:space="preserve">
IF(OR(ISBLANK(B313),ISBLANK(C313),B313="N/A",ISBLANK('Dados da OS'!$D$8)),"",
   IF(OR('Dados da OS'!$D$8=Parâmetros!$B$3,'Dados da OS'!$D$8=Parâmetros!$B$4),
      IF(OR(AND(B313="INM",N313&lt;&gt;"VF"),AND(N313="VF",B313&lt;&gt;"INM")),"",
        IF(AND(B313="INM",N313="VF"),IF(ISBLANK(H313),"",M313*H313),
        IF('Dados da OS'!$D$8=Parâmetros!$B$4,
           IF(OR(B313="CE",B313="EE"),4,IF(B313="SE",5,IF(B313="ALI",7,IF(B313="AIE",5,"")))),
        IF('Dados da OS'!$D$8=Parâmetros!$B$3,
           IF(OR(ISBLANK(D313),ISBLANK(F313)),"",
              IF(B313="ALI",IF(L313="L",7,IF(L313="A",10,15)),
                 IF(B313="AIE",IF(L313="L",5,IF(L313="A",7,10)),
                    IF(B313="SE",IF(L313="L",4,IF(L313="A",5,7)),
                       IF(OR(B313="EE",B313="CE"),IF(L313="L",3,IF(L313="A",4,6)),""))))))))),
   IF('Dados da OS'!$D$8=Parâmetros!$B$5,
      IF(OR(AND(B313="INM",N313&lt;&gt;"VF"),AND(N313="VF",B313&lt;&gt;"INM")),"",
         IF(B313="INM",IF(N313="VF",M313*H313,""),
            IF(B313="PE",4.6,
            IF(B313="AL",7,"")))),
   IF('Dados da OS'!$D$8=Parâmetros!$B$6,
      IF(B313="ALI",35,IF(B313="AIE",15,"")),""))
    )
)</f>
        <v/>
      </c>
      <c r="Q313" s="60" t="str">
        <f t="shared" si="31"/>
        <v/>
      </c>
      <c r="R313" s="61"/>
      <c r="S313" s="62"/>
      <c r="T313" s="80" t="s">
        <v>21</v>
      </c>
      <c r="U313" s="81"/>
      <c r="V313" s="99"/>
      <c r="W313" s="55"/>
      <c r="X313" s="55"/>
      <c r="Y313" s="56"/>
      <c r="Z313" s="55"/>
      <c r="AA313" s="56"/>
      <c r="AB313" s="55"/>
      <c r="AC313" s="57" t="str">
        <f t="shared" si="32"/>
        <v/>
      </c>
      <c r="AD313" s="57" t="str">
        <f t="shared" si="33"/>
        <v/>
      </c>
      <c r="AE313" s="57" t="str">
        <f xml:space="preserve">
IF(OR('Dados da OS'!$D$8=Parâmetros!$B$3,'Dados da OS'!$D$8=Parâmetros!$B$4),
  IF(OR(ISBLANK(X313),ISBLANK(Z313)),
     IF(OR(V313="ALI",V313="AIE"),"L",IF(ISBLANK(V313),"","A")),
     IF(V313="EE",IF(Z313&gt;=3,IF(X313&gt;=5,"H","A"),
     IF(Z313&gt;=2,IF(X313&gt;=16,"H",IF(X313&lt;=4,"L","A")),IF(X313&lt;=15,"L","A"))),
     IF(OR(V313="SE",V313="CE"),IF(Z313&gt;=4,IF(X313&gt;=6,"H","A"),IF(Z313&gt;=2,IF(X313&gt;=20,"H",IF(X313&lt;=5,"L","A")),IF(X313&lt;=19,"L","A"))),
     IF(OR(V313="ALI",V313="AIE"),IF(Z313&gt;=6,IF(X313&gt;=20,"H","A"),IF(Z313&gt;=2,IF(X313&gt;=51,"H",IF(X313&lt;=19,"L","A")),IF(X313&lt;=50,"L","A"))))))),
IF('Dados da OS'!$D$8=Parâmetros!$B$6,"Indicativa",
IF('Dados da OS'!$D$8=Parâmetros!$B$5,"PFS","")))</f>
        <v/>
      </c>
      <c r="AF313" s="57">
        <f>IFERROR(VLOOKUP(W313,'Fatores de Impacto e INMs'!$A$3:$D$32,3,0),1)</f>
        <v>1</v>
      </c>
      <c r="AG313" s="57">
        <f>IFERROR(VLOOKUP(W313,'Fatores de Impacto e INMs'!$A$3:$E$32,5,0),1)</f>
        <v>1</v>
      </c>
      <c r="AH313" s="82" t="str">
        <f xml:space="preserve">
IF(OR('Dados da OS'!$D$8="Selecione o tipo da contagem",ISBLANK('Dados da OS'!$D$8),V313="INM",V313="N/A",ISBLANK(V313),ISBLANK(W313),AG313="VF"),"-",
   IF('Dados da OS'!$D$8=Parâmetros!$B$3,
      IF(OR(ISBLANK(X313),ISBLANK(Z313)),"-",
         IF(AE313="L","Baixa",IF(AE313="A","Média",IF(AE313="H","Alta","-")))),
      IF('Dados da OS'!$D$8=Parâmetros!$B$4,
         IF(OR(V313="ALI",V313="AIE"),"Baixa",IF(OR(V313="EE",V313="SE",V313="CE"),"Média","-")),
         IF(OR('Dados da OS'!$D$8=Parâmetros!$B$5,'Dados da OS'!$D$8=Parâmetros!$B$6),"-"))))</f>
        <v>-</v>
      </c>
      <c r="AI313" s="83" t="str">
        <f xml:space="preserve">
IF(OR(ISBLANK(V313),ISBLANK(U313),ISBLANK(W313),V313="N/A",ISBLANK('Dados da OS'!$D$8)),"",
   IF(OR('Dados da OS'!$D$8=Parâmetros!$B$3,'Dados da OS'!$D$8=Parâmetros!$B$4),
      IF(OR(AND(V313="INM",AG313&lt;&gt;"VF"),AND(AG313="VF",V313&lt;&gt;"INM")),"",
        IF(AND(V313="INM",AG313="VF"),IF(ISBLANK(AB313),"",AF313*AB313),
        IF('Dados da OS'!$D$8=Parâmetros!$B$4,
           IF(OR(V313="CE",V313="EE"),4,IF(V313="SE",5,IF(V313="ALI",7,IF(V313="AIE",5,"")))),
        IF('Dados da OS'!$D$8=Parâmetros!$B$3,
           IF(OR(ISBLANK(X313),ISBLANK(Z313)),"",
              IF(V313="ALI",IF(AE313="L",7,IF(AE313="A",10,15)),
                 IF(V313="AIE",IF(AE313="L",5,IF(AE313="A",7,10)),
                    IF(V313="SE",IF(AE313="L",4,IF(AE313="A",5,7)),
                       IF(OR(V313="EE",V313="CE"),IF(AE313="L",3,IF(AE313="A",4,6)),""))))))))),
   IF('Dados da OS'!$D$8=Parâmetros!$B$5,
      IF(OR(AND(V313="INM",AG313&lt;&gt;"VF"),AND(AG313="VF",V313&lt;&gt;"INM")),"",
         IF(V313="INM",IF(AG313="VF",AF313*AB313,""),
            IF(V313="PE",4.6,
            IF(V313="AL",7,"")))),
   IF('Dados da OS'!$D$8=Parâmetros!$B$6,
      IF(V313="ALI",35,IF(V313="AIE",15,"")),""))
    )
)</f>
        <v/>
      </c>
      <c r="AJ313" s="82" t="str">
        <f t="shared" si="34"/>
        <v/>
      </c>
      <c r="AK313" s="84"/>
      <c r="AL313" s="85" t="s">
        <v>21</v>
      </c>
      <c r="AM313" s="86"/>
      <c r="AN313" s="85"/>
      <c r="AO313" s="87"/>
      <c r="AP313" s="85"/>
      <c r="AQ313" s="86"/>
      <c r="AR313" s="85"/>
    </row>
    <row r="314" spans="1:44" ht="15.75" customHeight="1">
      <c r="A314" s="54"/>
      <c r="B314" s="100"/>
      <c r="C314" s="55"/>
      <c r="D314" s="55"/>
      <c r="E314" s="56"/>
      <c r="F314" s="55"/>
      <c r="G314" s="56"/>
      <c r="H314" s="55"/>
      <c r="I314" s="64"/>
      <c r="J314" s="57" t="str">
        <f t="shared" si="35"/>
        <v/>
      </c>
      <c r="K314" s="57" t="str">
        <f t="shared" si="36"/>
        <v/>
      </c>
      <c r="L314" s="57" t="str">
        <f xml:space="preserve">
IF(OR('Dados da OS'!$D$8=Parâmetros!$B$3,'Dados da OS'!$D$8=Parâmetros!$B$4),
  IF(OR(ISBLANK(D314),ISBLANK(F314)),
     IF(OR(B314="ALI",B314="AIE"),"L",IF(ISBLANK(B314),"","A")),
     IF(B314="EE",IF(F314&gt;=3,IF(D314&gt;=5,"H","A"),
     IF(F314&gt;=2,IF(D314&gt;=16,"H",IF(D314&lt;=4,"L","A")),IF(D314&lt;=15,"L","A"))),
     IF(OR(B314="SE",B314="CE"),IF(F314&gt;=4,IF(D314&gt;=6,"H","A"),IF(F314&gt;=2,IF(D314&gt;=20,"H",IF(D314&lt;=5,"L","A")),IF(D314&lt;=19,"L","A"))),
     IF(OR(B314="ALI",B314="AIE"),IF(F314&gt;=6,IF(D314&gt;=20,"H","A"),IF(F314&gt;=2,IF(D314&gt;=51,"H",IF(D314&lt;=19,"L","A")),IF(D314&lt;=50,"L","A"))))))),
IF('Dados da OS'!$D$8=Parâmetros!$B$6,"Indicativa",
IF('Dados da OS'!$D$8=Parâmetros!$B$5,"PFS","")))</f>
        <v/>
      </c>
      <c r="M314" s="57">
        <f>IFERROR(VLOOKUP(C314,'Fatores de Impacto e INMs'!$A$3:$D$32,3,0),1)</f>
        <v>1</v>
      </c>
      <c r="N314" s="57">
        <f>IFERROR(VLOOKUP(C314,'Fatores de Impacto e INMs'!$A$3:$E$32,5,0),1)</f>
        <v>1</v>
      </c>
      <c r="O314" s="63" t="str">
        <f xml:space="preserve">
IF(OR('Dados da OS'!$D$8="Selecione o tipo da contagem",ISBLANK('Dados da OS'!$D$8),B314="INM",B314="N/A",ISBLANK(B314),ISBLANK(C314),N314="VF"),"-",
   IF('Dados da OS'!$D$8=Parâmetros!$B$3,
      IF(OR(ISBLANK(D314),ISBLANK(F314)),"-",
         IF(L314="L","Baixa",IF(L314="A","Média",IF(L314="H","Alta","-")))),
      IF('Dados da OS'!$D$8=Parâmetros!$B$4,
         IF(OR(B314="ALI",B314="AIE"),"Baixa",IF(OR(B314="EE",B314="SE",B314="CE"),"Média","-")),
         IF(OR('Dados da OS'!$D$8=Parâmetros!$B$5,'Dados da OS'!$D$8=Parâmetros!$B$6),"-"))))</f>
        <v>-</v>
      </c>
      <c r="P314" s="59" t="str">
        <f xml:space="preserve">
IF(OR(ISBLANK(B314),ISBLANK(C314),B314="N/A",ISBLANK('Dados da OS'!$D$8)),"",
   IF(OR('Dados da OS'!$D$8=Parâmetros!$B$3,'Dados da OS'!$D$8=Parâmetros!$B$4),
      IF(OR(AND(B314="INM",N314&lt;&gt;"VF"),AND(N314="VF",B314&lt;&gt;"INM")),"",
        IF(AND(B314="INM",N314="VF"),IF(ISBLANK(H314),"",M314*H314),
        IF('Dados da OS'!$D$8=Parâmetros!$B$4,
           IF(OR(B314="CE",B314="EE"),4,IF(B314="SE",5,IF(B314="ALI",7,IF(B314="AIE",5,"")))),
        IF('Dados da OS'!$D$8=Parâmetros!$B$3,
           IF(OR(ISBLANK(D314),ISBLANK(F314)),"",
              IF(B314="ALI",IF(L314="L",7,IF(L314="A",10,15)),
                 IF(B314="AIE",IF(L314="L",5,IF(L314="A",7,10)),
                    IF(B314="SE",IF(L314="L",4,IF(L314="A",5,7)),
                       IF(OR(B314="EE",B314="CE"),IF(L314="L",3,IF(L314="A",4,6)),""))))))))),
   IF('Dados da OS'!$D$8=Parâmetros!$B$5,
      IF(OR(AND(B314="INM",N314&lt;&gt;"VF"),AND(N314="VF",B314&lt;&gt;"INM")),"",
         IF(B314="INM",IF(N314="VF",M314*H314,""),
            IF(B314="PE",4.6,
            IF(B314="AL",7,"")))),
   IF('Dados da OS'!$D$8=Parâmetros!$B$6,
      IF(B314="ALI",35,IF(B314="AIE",15,"")),""))
    )
)</f>
        <v/>
      </c>
      <c r="Q314" s="60" t="str">
        <f t="shared" si="31"/>
        <v/>
      </c>
      <c r="R314" s="61"/>
      <c r="S314" s="62"/>
      <c r="T314" s="80" t="s">
        <v>21</v>
      </c>
      <c r="U314" s="81"/>
      <c r="V314" s="99"/>
      <c r="W314" s="55"/>
      <c r="X314" s="55"/>
      <c r="Y314" s="56"/>
      <c r="Z314" s="55"/>
      <c r="AA314" s="56"/>
      <c r="AB314" s="55"/>
      <c r="AC314" s="57" t="str">
        <f t="shared" si="32"/>
        <v/>
      </c>
      <c r="AD314" s="57" t="str">
        <f t="shared" si="33"/>
        <v/>
      </c>
      <c r="AE314" s="57" t="str">
        <f xml:space="preserve">
IF(OR('Dados da OS'!$D$8=Parâmetros!$B$3,'Dados da OS'!$D$8=Parâmetros!$B$4),
  IF(OR(ISBLANK(X314),ISBLANK(Z314)),
     IF(OR(V314="ALI",V314="AIE"),"L",IF(ISBLANK(V314),"","A")),
     IF(V314="EE",IF(Z314&gt;=3,IF(X314&gt;=5,"H","A"),
     IF(Z314&gt;=2,IF(X314&gt;=16,"H",IF(X314&lt;=4,"L","A")),IF(X314&lt;=15,"L","A"))),
     IF(OR(V314="SE",V314="CE"),IF(Z314&gt;=4,IF(X314&gt;=6,"H","A"),IF(Z314&gt;=2,IF(X314&gt;=20,"H",IF(X314&lt;=5,"L","A")),IF(X314&lt;=19,"L","A"))),
     IF(OR(V314="ALI",V314="AIE"),IF(Z314&gt;=6,IF(X314&gt;=20,"H","A"),IF(Z314&gt;=2,IF(X314&gt;=51,"H",IF(X314&lt;=19,"L","A")),IF(X314&lt;=50,"L","A"))))))),
IF('Dados da OS'!$D$8=Parâmetros!$B$6,"Indicativa",
IF('Dados da OS'!$D$8=Parâmetros!$B$5,"PFS","")))</f>
        <v/>
      </c>
      <c r="AF314" s="57">
        <f>IFERROR(VLOOKUP(W314,'Fatores de Impacto e INMs'!$A$3:$D$32,3,0),1)</f>
        <v>1</v>
      </c>
      <c r="AG314" s="57">
        <f>IFERROR(VLOOKUP(W314,'Fatores de Impacto e INMs'!$A$3:$E$32,5,0),1)</f>
        <v>1</v>
      </c>
      <c r="AH314" s="82" t="str">
        <f xml:space="preserve">
IF(OR('Dados da OS'!$D$8="Selecione o tipo da contagem",ISBLANK('Dados da OS'!$D$8),V314="INM",V314="N/A",ISBLANK(V314),ISBLANK(W314),AG314="VF"),"-",
   IF('Dados da OS'!$D$8=Parâmetros!$B$3,
      IF(OR(ISBLANK(X314),ISBLANK(Z314)),"-",
         IF(AE314="L","Baixa",IF(AE314="A","Média",IF(AE314="H","Alta","-")))),
      IF('Dados da OS'!$D$8=Parâmetros!$B$4,
         IF(OR(V314="ALI",V314="AIE"),"Baixa",IF(OR(V314="EE",V314="SE",V314="CE"),"Média","-")),
         IF(OR('Dados da OS'!$D$8=Parâmetros!$B$5,'Dados da OS'!$D$8=Parâmetros!$B$6),"-"))))</f>
        <v>-</v>
      </c>
      <c r="AI314" s="83" t="str">
        <f xml:space="preserve">
IF(OR(ISBLANK(V314),ISBLANK(U314),ISBLANK(W314),V314="N/A",ISBLANK('Dados da OS'!$D$8)),"",
   IF(OR('Dados da OS'!$D$8=Parâmetros!$B$3,'Dados da OS'!$D$8=Parâmetros!$B$4),
      IF(OR(AND(V314="INM",AG314&lt;&gt;"VF"),AND(AG314="VF",V314&lt;&gt;"INM")),"",
        IF(AND(V314="INM",AG314="VF"),IF(ISBLANK(AB314),"",AF314*AB314),
        IF('Dados da OS'!$D$8=Parâmetros!$B$4,
           IF(OR(V314="CE",V314="EE"),4,IF(V314="SE",5,IF(V314="ALI",7,IF(V314="AIE",5,"")))),
        IF('Dados da OS'!$D$8=Parâmetros!$B$3,
           IF(OR(ISBLANK(X314),ISBLANK(Z314)),"",
              IF(V314="ALI",IF(AE314="L",7,IF(AE314="A",10,15)),
                 IF(V314="AIE",IF(AE314="L",5,IF(AE314="A",7,10)),
                    IF(V314="SE",IF(AE314="L",4,IF(AE314="A",5,7)),
                       IF(OR(V314="EE",V314="CE"),IF(AE314="L",3,IF(AE314="A",4,6)),""))))))))),
   IF('Dados da OS'!$D$8=Parâmetros!$B$5,
      IF(OR(AND(V314="INM",AG314&lt;&gt;"VF"),AND(AG314="VF",V314&lt;&gt;"INM")),"",
         IF(V314="INM",IF(AG314="VF",AF314*AB314,""),
            IF(V314="PE",4.6,
            IF(V314="AL",7,"")))),
   IF('Dados da OS'!$D$8=Parâmetros!$B$6,
      IF(V314="ALI",35,IF(V314="AIE",15,"")),""))
    )
)</f>
        <v/>
      </c>
      <c r="AJ314" s="82" t="str">
        <f t="shared" si="34"/>
        <v/>
      </c>
      <c r="AK314" s="84"/>
      <c r="AL314" s="85" t="s">
        <v>21</v>
      </c>
      <c r="AM314" s="86"/>
      <c r="AN314" s="85"/>
      <c r="AO314" s="87"/>
      <c r="AP314" s="85"/>
      <c r="AQ314" s="86"/>
      <c r="AR314" s="85"/>
    </row>
    <row r="315" spans="1:44" ht="15.75" customHeight="1">
      <c r="A315" s="54"/>
      <c r="B315" s="100"/>
      <c r="C315" s="55"/>
      <c r="D315" s="55"/>
      <c r="E315" s="56"/>
      <c r="F315" s="55"/>
      <c r="G315" s="56"/>
      <c r="H315" s="55"/>
      <c r="I315" s="64"/>
      <c r="J315" s="57" t="str">
        <f t="shared" si="35"/>
        <v/>
      </c>
      <c r="K315" s="57" t="str">
        <f t="shared" si="36"/>
        <v/>
      </c>
      <c r="L315" s="57" t="str">
        <f xml:space="preserve">
IF(OR('Dados da OS'!$D$8=Parâmetros!$B$3,'Dados da OS'!$D$8=Parâmetros!$B$4),
  IF(OR(ISBLANK(D315),ISBLANK(F315)),
     IF(OR(B315="ALI",B315="AIE"),"L",IF(ISBLANK(B315),"","A")),
     IF(B315="EE",IF(F315&gt;=3,IF(D315&gt;=5,"H","A"),
     IF(F315&gt;=2,IF(D315&gt;=16,"H",IF(D315&lt;=4,"L","A")),IF(D315&lt;=15,"L","A"))),
     IF(OR(B315="SE",B315="CE"),IF(F315&gt;=4,IF(D315&gt;=6,"H","A"),IF(F315&gt;=2,IF(D315&gt;=20,"H",IF(D315&lt;=5,"L","A")),IF(D315&lt;=19,"L","A"))),
     IF(OR(B315="ALI",B315="AIE"),IF(F315&gt;=6,IF(D315&gt;=20,"H","A"),IF(F315&gt;=2,IF(D315&gt;=51,"H",IF(D315&lt;=19,"L","A")),IF(D315&lt;=50,"L","A"))))))),
IF('Dados da OS'!$D$8=Parâmetros!$B$6,"Indicativa",
IF('Dados da OS'!$D$8=Parâmetros!$B$5,"PFS","")))</f>
        <v/>
      </c>
      <c r="M315" s="57">
        <f>IFERROR(VLOOKUP(C315,'Fatores de Impacto e INMs'!$A$3:$D$32,3,0),1)</f>
        <v>1</v>
      </c>
      <c r="N315" s="57">
        <f>IFERROR(VLOOKUP(C315,'Fatores de Impacto e INMs'!$A$3:$E$32,5,0),1)</f>
        <v>1</v>
      </c>
      <c r="O315" s="63" t="str">
        <f xml:space="preserve">
IF(OR('Dados da OS'!$D$8="Selecione o tipo da contagem",ISBLANK('Dados da OS'!$D$8),B315="INM",B315="N/A",ISBLANK(B315),ISBLANK(C315),N315="VF"),"-",
   IF('Dados da OS'!$D$8=Parâmetros!$B$3,
      IF(OR(ISBLANK(D315),ISBLANK(F315)),"-",
         IF(L315="L","Baixa",IF(L315="A","Média",IF(L315="H","Alta","-")))),
      IF('Dados da OS'!$D$8=Parâmetros!$B$4,
         IF(OR(B315="ALI",B315="AIE"),"Baixa",IF(OR(B315="EE",B315="SE",B315="CE"),"Média","-")),
         IF(OR('Dados da OS'!$D$8=Parâmetros!$B$5,'Dados da OS'!$D$8=Parâmetros!$B$6),"-"))))</f>
        <v>-</v>
      </c>
      <c r="P315" s="59" t="str">
        <f xml:space="preserve">
IF(OR(ISBLANK(B315),ISBLANK(C315),B315="N/A",ISBLANK('Dados da OS'!$D$8)),"",
   IF(OR('Dados da OS'!$D$8=Parâmetros!$B$3,'Dados da OS'!$D$8=Parâmetros!$B$4),
      IF(OR(AND(B315="INM",N315&lt;&gt;"VF"),AND(N315="VF",B315&lt;&gt;"INM")),"",
        IF(AND(B315="INM",N315="VF"),IF(ISBLANK(H315),"",M315*H315),
        IF('Dados da OS'!$D$8=Parâmetros!$B$4,
           IF(OR(B315="CE",B315="EE"),4,IF(B315="SE",5,IF(B315="ALI",7,IF(B315="AIE",5,"")))),
        IF('Dados da OS'!$D$8=Parâmetros!$B$3,
           IF(OR(ISBLANK(D315),ISBLANK(F315)),"",
              IF(B315="ALI",IF(L315="L",7,IF(L315="A",10,15)),
                 IF(B315="AIE",IF(L315="L",5,IF(L315="A",7,10)),
                    IF(B315="SE",IF(L315="L",4,IF(L315="A",5,7)),
                       IF(OR(B315="EE",B315="CE"),IF(L315="L",3,IF(L315="A",4,6)),""))))))))),
   IF('Dados da OS'!$D$8=Parâmetros!$B$5,
      IF(OR(AND(B315="INM",N315&lt;&gt;"VF"),AND(N315="VF",B315&lt;&gt;"INM")),"",
         IF(B315="INM",IF(N315="VF",M315*H315,""),
            IF(B315="PE",4.6,
            IF(B315="AL",7,"")))),
   IF('Dados da OS'!$D$8=Parâmetros!$B$6,
      IF(B315="ALI",35,IF(B315="AIE",15,"")),""))
    )
)</f>
        <v/>
      </c>
      <c r="Q315" s="60" t="str">
        <f t="shared" si="31"/>
        <v/>
      </c>
      <c r="R315" s="61"/>
      <c r="S315" s="62"/>
      <c r="T315" s="80" t="s">
        <v>21</v>
      </c>
      <c r="U315" s="81"/>
      <c r="V315" s="99"/>
      <c r="W315" s="55"/>
      <c r="X315" s="55"/>
      <c r="Y315" s="56"/>
      <c r="Z315" s="55"/>
      <c r="AA315" s="56"/>
      <c r="AB315" s="55"/>
      <c r="AC315" s="57" t="str">
        <f t="shared" si="32"/>
        <v/>
      </c>
      <c r="AD315" s="57" t="str">
        <f t="shared" si="33"/>
        <v/>
      </c>
      <c r="AE315" s="57" t="str">
        <f xml:space="preserve">
IF(OR('Dados da OS'!$D$8=Parâmetros!$B$3,'Dados da OS'!$D$8=Parâmetros!$B$4),
  IF(OR(ISBLANK(X315),ISBLANK(Z315)),
     IF(OR(V315="ALI",V315="AIE"),"L",IF(ISBLANK(V315),"","A")),
     IF(V315="EE",IF(Z315&gt;=3,IF(X315&gt;=5,"H","A"),
     IF(Z315&gt;=2,IF(X315&gt;=16,"H",IF(X315&lt;=4,"L","A")),IF(X315&lt;=15,"L","A"))),
     IF(OR(V315="SE",V315="CE"),IF(Z315&gt;=4,IF(X315&gt;=6,"H","A"),IF(Z315&gt;=2,IF(X315&gt;=20,"H",IF(X315&lt;=5,"L","A")),IF(X315&lt;=19,"L","A"))),
     IF(OR(V315="ALI",V315="AIE"),IF(Z315&gt;=6,IF(X315&gt;=20,"H","A"),IF(Z315&gt;=2,IF(X315&gt;=51,"H",IF(X315&lt;=19,"L","A")),IF(X315&lt;=50,"L","A"))))))),
IF('Dados da OS'!$D$8=Parâmetros!$B$6,"Indicativa",
IF('Dados da OS'!$D$8=Parâmetros!$B$5,"PFS","")))</f>
        <v/>
      </c>
      <c r="AF315" s="57">
        <f>IFERROR(VLOOKUP(W315,'Fatores de Impacto e INMs'!$A$3:$D$32,3,0),1)</f>
        <v>1</v>
      </c>
      <c r="AG315" s="57">
        <f>IFERROR(VLOOKUP(W315,'Fatores de Impacto e INMs'!$A$3:$E$32,5,0),1)</f>
        <v>1</v>
      </c>
      <c r="AH315" s="82" t="str">
        <f xml:space="preserve">
IF(OR('Dados da OS'!$D$8="Selecione o tipo da contagem",ISBLANK('Dados da OS'!$D$8),V315="INM",V315="N/A",ISBLANK(V315),ISBLANK(W315),AG315="VF"),"-",
   IF('Dados da OS'!$D$8=Parâmetros!$B$3,
      IF(OR(ISBLANK(X315),ISBLANK(Z315)),"-",
         IF(AE315="L","Baixa",IF(AE315="A","Média",IF(AE315="H","Alta","-")))),
      IF('Dados da OS'!$D$8=Parâmetros!$B$4,
         IF(OR(V315="ALI",V315="AIE"),"Baixa",IF(OR(V315="EE",V315="SE",V315="CE"),"Média","-")),
         IF(OR('Dados da OS'!$D$8=Parâmetros!$B$5,'Dados da OS'!$D$8=Parâmetros!$B$6),"-"))))</f>
        <v>-</v>
      </c>
      <c r="AI315" s="83" t="str">
        <f xml:space="preserve">
IF(OR(ISBLANK(V315),ISBLANK(U315),ISBLANK(W315),V315="N/A",ISBLANK('Dados da OS'!$D$8)),"",
   IF(OR('Dados da OS'!$D$8=Parâmetros!$B$3,'Dados da OS'!$D$8=Parâmetros!$B$4),
      IF(OR(AND(V315="INM",AG315&lt;&gt;"VF"),AND(AG315="VF",V315&lt;&gt;"INM")),"",
        IF(AND(V315="INM",AG315="VF"),IF(ISBLANK(AB315),"",AF315*AB315),
        IF('Dados da OS'!$D$8=Parâmetros!$B$4,
           IF(OR(V315="CE",V315="EE"),4,IF(V315="SE",5,IF(V315="ALI",7,IF(V315="AIE",5,"")))),
        IF('Dados da OS'!$D$8=Parâmetros!$B$3,
           IF(OR(ISBLANK(X315),ISBLANK(Z315)),"",
              IF(V315="ALI",IF(AE315="L",7,IF(AE315="A",10,15)),
                 IF(V315="AIE",IF(AE315="L",5,IF(AE315="A",7,10)),
                    IF(V315="SE",IF(AE315="L",4,IF(AE315="A",5,7)),
                       IF(OR(V315="EE",V315="CE"),IF(AE315="L",3,IF(AE315="A",4,6)),""))))))))),
   IF('Dados da OS'!$D$8=Parâmetros!$B$5,
      IF(OR(AND(V315="INM",AG315&lt;&gt;"VF"),AND(AG315="VF",V315&lt;&gt;"INM")),"",
         IF(V315="INM",IF(AG315="VF",AF315*AB315,""),
            IF(V315="PE",4.6,
            IF(V315="AL",7,"")))),
   IF('Dados da OS'!$D$8=Parâmetros!$B$6,
      IF(V315="ALI",35,IF(V315="AIE",15,"")),""))
    )
)</f>
        <v/>
      </c>
      <c r="AJ315" s="82" t="str">
        <f t="shared" si="34"/>
        <v/>
      </c>
      <c r="AK315" s="84"/>
      <c r="AL315" s="85" t="s">
        <v>21</v>
      </c>
      <c r="AM315" s="86"/>
      <c r="AN315" s="85"/>
      <c r="AO315" s="87"/>
      <c r="AP315" s="85"/>
      <c r="AQ315" s="86"/>
      <c r="AR315" s="85"/>
    </row>
    <row r="316" spans="1:44" ht="15.75" customHeight="1">
      <c r="A316" s="54"/>
      <c r="B316" s="100"/>
      <c r="C316" s="55"/>
      <c r="D316" s="55"/>
      <c r="E316" s="56"/>
      <c r="F316" s="55"/>
      <c r="G316" s="56"/>
      <c r="H316" s="55"/>
      <c r="I316" s="64"/>
      <c r="J316" s="57" t="str">
        <f t="shared" si="35"/>
        <v/>
      </c>
      <c r="K316" s="57" t="str">
        <f t="shared" si="36"/>
        <v/>
      </c>
      <c r="L316" s="57" t="str">
        <f xml:space="preserve">
IF(OR('Dados da OS'!$D$8=Parâmetros!$B$3,'Dados da OS'!$D$8=Parâmetros!$B$4),
  IF(OR(ISBLANK(D316),ISBLANK(F316)),
     IF(OR(B316="ALI",B316="AIE"),"L",IF(ISBLANK(B316),"","A")),
     IF(B316="EE",IF(F316&gt;=3,IF(D316&gt;=5,"H","A"),
     IF(F316&gt;=2,IF(D316&gt;=16,"H",IF(D316&lt;=4,"L","A")),IF(D316&lt;=15,"L","A"))),
     IF(OR(B316="SE",B316="CE"),IF(F316&gt;=4,IF(D316&gt;=6,"H","A"),IF(F316&gt;=2,IF(D316&gt;=20,"H",IF(D316&lt;=5,"L","A")),IF(D316&lt;=19,"L","A"))),
     IF(OR(B316="ALI",B316="AIE"),IF(F316&gt;=6,IF(D316&gt;=20,"H","A"),IF(F316&gt;=2,IF(D316&gt;=51,"H",IF(D316&lt;=19,"L","A")),IF(D316&lt;=50,"L","A"))))))),
IF('Dados da OS'!$D$8=Parâmetros!$B$6,"Indicativa",
IF('Dados da OS'!$D$8=Parâmetros!$B$5,"PFS","")))</f>
        <v/>
      </c>
      <c r="M316" s="57">
        <f>IFERROR(VLOOKUP(C316,'Fatores de Impacto e INMs'!$A$3:$D$32,3,0),1)</f>
        <v>1</v>
      </c>
      <c r="N316" s="57">
        <f>IFERROR(VLOOKUP(C316,'Fatores de Impacto e INMs'!$A$3:$E$32,5,0),1)</f>
        <v>1</v>
      </c>
      <c r="O316" s="63" t="str">
        <f xml:space="preserve">
IF(OR('Dados da OS'!$D$8="Selecione o tipo da contagem",ISBLANK('Dados da OS'!$D$8),B316="INM",B316="N/A",ISBLANK(B316),ISBLANK(C316),N316="VF"),"-",
   IF('Dados da OS'!$D$8=Parâmetros!$B$3,
      IF(OR(ISBLANK(D316),ISBLANK(F316)),"-",
         IF(L316="L","Baixa",IF(L316="A","Média",IF(L316="H","Alta","-")))),
      IF('Dados da OS'!$D$8=Parâmetros!$B$4,
         IF(OR(B316="ALI",B316="AIE"),"Baixa",IF(OR(B316="EE",B316="SE",B316="CE"),"Média","-")),
         IF(OR('Dados da OS'!$D$8=Parâmetros!$B$5,'Dados da OS'!$D$8=Parâmetros!$B$6),"-"))))</f>
        <v>-</v>
      </c>
      <c r="P316" s="59" t="str">
        <f xml:space="preserve">
IF(OR(ISBLANK(B316),ISBLANK(C316),B316="N/A",ISBLANK('Dados da OS'!$D$8)),"",
   IF(OR('Dados da OS'!$D$8=Parâmetros!$B$3,'Dados da OS'!$D$8=Parâmetros!$B$4),
      IF(OR(AND(B316="INM",N316&lt;&gt;"VF"),AND(N316="VF",B316&lt;&gt;"INM")),"",
        IF(AND(B316="INM",N316="VF"),IF(ISBLANK(H316),"",M316*H316),
        IF('Dados da OS'!$D$8=Parâmetros!$B$4,
           IF(OR(B316="CE",B316="EE"),4,IF(B316="SE",5,IF(B316="ALI",7,IF(B316="AIE",5,"")))),
        IF('Dados da OS'!$D$8=Parâmetros!$B$3,
           IF(OR(ISBLANK(D316),ISBLANK(F316)),"",
              IF(B316="ALI",IF(L316="L",7,IF(L316="A",10,15)),
                 IF(B316="AIE",IF(L316="L",5,IF(L316="A",7,10)),
                    IF(B316="SE",IF(L316="L",4,IF(L316="A",5,7)),
                       IF(OR(B316="EE",B316="CE"),IF(L316="L",3,IF(L316="A",4,6)),""))))))))),
   IF('Dados da OS'!$D$8=Parâmetros!$B$5,
      IF(OR(AND(B316="INM",N316&lt;&gt;"VF"),AND(N316="VF",B316&lt;&gt;"INM")),"",
         IF(B316="INM",IF(N316="VF",M316*H316,""),
            IF(B316="PE",4.6,
            IF(B316="AL",7,"")))),
   IF('Dados da OS'!$D$8=Parâmetros!$B$6,
      IF(B316="ALI",35,IF(B316="AIE",15,"")),""))
    )
)</f>
        <v/>
      </c>
      <c r="Q316" s="60" t="str">
        <f t="shared" si="31"/>
        <v/>
      </c>
      <c r="R316" s="61"/>
      <c r="S316" s="62"/>
      <c r="T316" s="80" t="s">
        <v>21</v>
      </c>
      <c r="U316" s="81"/>
      <c r="V316" s="99"/>
      <c r="W316" s="55"/>
      <c r="X316" s="55"/>
      <c r="Y316" s="56"/>
      <c r="Z316" s="55"/>
      <c r="AA316" s="56"/>
      <c r="AB316" s="55"/>
      <c r="AC316" s="57" t="str">
        <f t="shared" si="32"/>
        <v/>
      </c>
      <c r="AD316" s="57" t="str">
        <f t="shared" si="33"/>
        <v/>
      </c>
      <c r="AE316" s="57" t="str">
        <f xml:space="preserve">
IF(OR('Dados da OS'!$D$8=Parâmetros!$B$3,'Dados da OS'!$D$8=Parâmetros!$B$4),
  IF(OR(ISBLANK(X316),ISBLANK(Z316)),
     IF(OR(V316="ALI",V316="AIE"),"L",IF(ISBLANK(V316),"","A")),
     IF(V316="EE",IF(Z316&gt;=3,IF(X316&gt;=5,"H","A"),
     IF(Z316&gt;=2,IF(X316&gt;=16,"H",IF(X316&lt;=4,"L","A")),IF(X316&lt;=15,"L","A"))),
     IF(OR(V316="SE",V316="CE"),IF(Z316&gt;=4,IF(X316&gt;=6,"H","A"),IF(Z316&gt;=2,IF(X316&gt;=20,"H",IF(X316&lt;=5,"L","A")),IF(X316&lt;=19,"L","A"))),
     IF(OR(V316="ALI",V316="AIE"),IF(Z316&gt;=6,IF(X316&gt;=20,"H","A"),IF(Z316&gt;=2,IF(X316&gt;=51,"H",IF(X316&lt;=19,"L","A")),IF(X316&lt;=50,"L","A"))))))),
IF('Dados da OS'!$D$8=Parâmetros!$B$6,"Indicativa",
IF('Dados da OS'!$D$8=Parâmetros!$B$5,"PFS","")))</f>
        <v/>
      </c>
      <c r="AF316" s="57">
        <f>IFERROR(VLOOKUP(W316,'Fatores de Impacto e INMs'!$A$3:$D$32,3,0),1)</f>
        <v>1</v>
      </c>
      <c r="AG316" s="57">
        <f>IFERROR(VLOOKUP(W316,'Fatores de Impacto e INMs'!$A$3:$E$32,5,0),1)</f>
        <v>1</v>
      </c>
      <c r="AH316" s="82" t="str">
        <f xml:space="preserve">
IF(OR('Dados da OS'!$D$8="Selecione o tipo da contagem",ISBLANK('Dados da OS'!$D$8),V316="INM",V316="N/A",ISBLANK(V316),ISBLANK(W316),AG316="VF"),"-",
   IF('Dados da OS'!$D$8=Parâmetros!$B$3,
      IF(OR(ISBLANK(X316),ISBLANK(Z316)),"-",
         IF(AE316="L","Baixa",IF(AE316="A","Média",IF(AE316="H","Alta","-")))),
      IF('Dados da OS'!$D$8=Parâmetros!$B$4,
         IF(OR(V316="ALI",V316="AIE"),"Baixa",IF(OR(V316="EE",V316="SE",V316="CE"),"Média","-")),
         IF(OR('Dados da OS'!$D$8=Parâmetros!$B$5,'Dados da OS'!$D$8=Parâmetros!$B$6),"-"))))</f>
        <v>-</v>
      </c>
      <c r="AI316" s="83" t="str">
        <f xml:space="preserve">
IF(OR(ISBLANK(V316),ISBLANK(U316),ISBLANK(W316),V316="N/A",ISBLANK('Dados da OS'!$D$8)),"",
   IF(OR('Dados da OS'!$D$8=Parâmetros!$B$3,'Dados da OS'!$D$8=Parâmetros!$B$4),
      IF(OR(AND(V316="INM",AG316&lt;&gt;"VF"),AND(AG316="VF",V316&lt;&gt;"INM")),"",
        IF(AND(V316="INM",AG316="VF"),IF(ISBLANK(AB316),"",AF316*AB316),
        IF('Dados da OS'!$D$8=Parâmetros!$B$4,
           IF(OR(V316="CE",V316="EE"),4,IF(V316="SE",5,IF(V316="ALI",7,IF(V316="AIE",5,"")))),
        IF('Dados da OS'!$D$8=Parâmetros!$B$3,
           IF(OR(ISBLANK(X316),ISBLANK(Z316)),"",
              IF(V316="ALI",IF(AE316="L",7,IF(AE316="A",10,15)),
                 IF(V316="AIE",IF(AE316="L",5,IF(AE316="A",7,10)),
                    IF(V316="SE",IF(AE316="L",4,IF(AE316="A",5,7)),
                       IF(OR(V316="EE",V316="CE"),IF(AE316="L",3,IF(AE316="A",4,6)),""))))))))),
   IF('Dados da OS'!$D$8=Parâmetros!$B$5,
      IF(OR(AND(V316="INM",AG316&lt;&gt;"VF"),AND(AG316="VF",V316&lt;&gt;"INM")),"",
         IF(V316="INM",IF(AG316="VF",AF316*AB316,""),
            IF(V316="PE",4.6,
            IF(V316="AL",7,"")))),
   IF('Dados da OS'!$D$8=Parâmetros!$B$6,
      IF(V316="ALI",35,IF(V316="AIE",15,"")),""))
    )
)</f>
        <v/>
      </c>
      <c r="AJ316" s="82" t="str">
        <f t="shared" si="34"/>
        <v/>
      </c>
      <c r="AK316" s="84"/>
      <c r="AL316" s="85" t="s">
        <v>21</v>
      </c>
      <c r="AM316" s="86"/>
      <c r="AN316" s="85"/>
      <c r="AO316" s="87"/>
      <c r="AP316" s="85"/>
      <c r="AQ316" s="86"/>
      <c r="AR316" s="85"/>
    </row>
    <row r="317" spans="1:44" ht="15.75" customHeight="1">
      <c r="A317" s="54"/>
      <c r="B317" s="100"/>
      <c r="C317" s="55"/>
      <c r="D317" s="55"/>
      <c r="E317" s="56"/>
      <c r="F317" s="55"/>
      <c r="G317" s="56"/>
      <c r="H317" s="55"/>
      <c r="I317" s="64"/>
      <c r="J317" s="57" t="str">
        <f t="shared" si="35"/>
        <v/>
      </c>
      <c r="K317" s="57" t="str">
        <f t="shared" si="36"/>
        <v/>
      </c>
      <c r="L317" s="57" t="str">
        <f xml:space="preserve">
IF(OR('Dados da OS'!$D$8=Parâmetros!$B$3,'Dados da OS'!$D$8=Parâmetros!$B$4),
  IF(OR(ISBLANK(D317),ISBLANK(F317)),
     IF(OR(B317="ALI",B317="AIE"),"L",IF(ISBLANK(B317),"","A")),
     IF(B317="EE",IF(F317&gt;=3,IF(D317&gt;=5,"H","A"),
     IF(F317&gt;=2,IF(D317&gt;=16,"H",IF(D317&lt;=4,"L","A")),IF(D317&lt;=15,"L","A"))),
     IF(OR(B317="SE",B317="CE"),IF(F317&gt;=4,IF(D317&gt;=6,"H","A"),IF(F317&gt;=2,IF(D317&gt;=20,"H",IF(D317&lt;=5,"L","A")),IF(D317&lt;=19,"L","A"))),
     IF(OR(B317="ALI",B317="AIE"),IF(F317&gt;=6,IF(D317&gt;=20,"H","A"),IF(F317&gt;=2,IF(D317&gt;=51,"H",IF(D317&lt;=19,"L","A")),IF(D317&lt;=50,"L","A"))))))),
IF('Dados da OS'!$D$8=Parâmetros!$B$6,"Indicativa",
IF('Dados da OS'!$D$8=Parâmetros!$B$5,"PFS","")))</f>
        <v/>
      </c>
      <c r="M317" s="57">
        <f>IFERROR(VLOOKUP(C317,'Fatores de Impacto e INMs'!$A$3:$D$32,3,0),1)</f>
        <v>1</v>
      </c>
      <c r="N317" s="57">
        <f>IFERROR(VLOOKUP(C317,'Fatores de Impacto e INMs'!$A$3:$E$32,5,0),1)</f>
        <v>1</v>
      </c>
      <c r="O317" s="63" t="str">
        <f xml:space="preserve">
IF(OR('Dados da OS'!$D$8="Selecione o tipo da contagem",ISBLANK('Dados da OS'!$D$8),B317="INM",B317="N/A",ISBLANK(B317),ISBLANK(C317),N317="VF"),"-",
   IF('Dados da OS'!$D$8=Parâmetros!$B$3,
      IF(OR(ISBLANK(D317),ISBLANK(F317)),"-",
         IF(L317="L","Baixa",IF(L317="A","Média",IF(L317="H","Alta","-")))),
      IF('Dados da OS'!$D$8=Parâmetros!$B$4,
         IF(OR(B317="ALI",B317="AIE"),"Baixa",IF(OR(B317="EE",B317="SE",B317="CE"),"Média","-")),
         IF(OR('Dados da OS'!$D$8=Parâmetros!$B$5,'Dados da OS'!$D$8=Parâmetros!$B$6),"-"))))</f>
        <v>-</v>
      </c>
      <c r="P317" s="59" t="str">
        <f xml:space="preserve">
IF(OR(ISBLANK(B317),ISBLANK(C317),B317="N/A",ISBLANK('Dados da OS'!$D$8)),"",
   IF(OR('Dados da OS'!$D$8=Parâmetros!$B$3,'Dados da OS'!$D$8=Parâmetros!$B$4),
      IF(OR(AND(B317="INM",N317&lt;&gt;"VF"),AND(N317="VF",B317&lt;&gt;"INM")),"",
        IF(AND(B317="INM",N317="VF"),IF(ISBLANK(H317),"",M317*H317),
        IF('Dados da OS'!$D$8=Parâmetros!$B$4,
           IF(OR(B317="CE",B317="EE"),4,IF(B317="SE",5,IF(B317="ALI",7,IF(B317="AIE",5,"")))),
        IF('Dados da OS'!$D$8=Parâmetros!$B$3,
           IF(OR(ISBLANK(D317),ISBLANK(F317)),"",
              IF(B317="ALI",IF(L317="L",7,IF(L317="A",10,15)),
                 IF(B317="AIE",IF(L317="L",5,IF(L317="A",7,10)),
                    IF(B317="SE",IF(L317="L",4,IF(L317="A",5,7)),
                       IF(OR(B317="EE",B317="CE"),IF(L317="L",3,IF(L317="A",4,6)),""))))))))),
   IF('Dados da OS'!$D$8=Parâmetros!$B$5,
      IF(OR(AND(B317="INM",N317&lt;&gt;"VF"),AND(N317="VF",B317&lt;&gt;"INM")),"",
         IF(B317="INM",IF(N317="VF",M317*H317,""),
            IF(B317="PE",4.6,
            IF(B317="AL",7,"")))),
   IF('Dados da OS'!$D$8=Parâmetros!$B$6,
      IF(B317="ALI",35,IF(B317="AIE",15,"")),""))
    )
)</f>
        <v/>
      </c>
      <c r="Q317" s="60" t="str">
        <f t="shared" si="31"/>
        <v/>
      </c>
      <c r="R317" s="61"/>
      <c r="S317" s="62"/>
      <c r="T317" s="80" t="s">
        <v>21</v>
      </c>
      <c r="U317" s="81"/>
      <c r="V317" s="99"/>
      <c r="W317" s="55"/>
      <c r="X317" s="55"/>
      <c r="Y317" s="56"/>
      <c r="Z317" s="55"/>
      <c r="AA317" s="56"/>
      <c r="AB317" s="55"/>
      <c r="AC317" s="57" t="str">
        <f t="shared" si="32"/>
        <v/>
      </c>
      <c r="AD317" s="57" t="str">
        <f t="shared" si="33"/>
        <v/>
      </c>
      <c r="AE317" s="57" t="str">
        <f xml:space="preserve">
IF(OR('Dados da OS'!$D$8=Parâmetros!$B$3,'Dados da OS'!$D$8=Parâmetros!$B$4),
  IF(OR(ISBLANK(X317),ISBLANK(Z317)),
     IF(OR(V317="ALI",V317="AIE"),"L",IF(ISBLANK(V317),"","A")),
     IF(V317="EE",IF(Z317&gt;=3,IF(X317&gt;=5,"H","A"),
     IF(Z317&gt;=2,IF(X317&gt;=16,"H",IF(X317&lt;=4,"L","A")),IF(X317&lt;=15,"L","A"))),
     IF(OR(V317="SE",V317="CE"),IF(Z317&gt;=4,IF(X317&gt;=6,"H","A"),IF(Z317&gt;=2,IF(X317&gt;=20,"H",IF(X317&lt;=5,"L","A")),IF(X317&lt;=19,"L","A"))),
     IF(OR(V317="ALI",V317="AIE"),IF(Z317&gt;=6,IF(X317&gt;=20,"H","A"),IF(Z317&gt;=2,IF(X317&gt;=51,"H",IF(X317&lt;=19,"L","A")),IF(X317&lt;=50,"L","A"))))))),
IF('Dados da OS'!$D$8=Parâmetros!$B$6,"Indicativa",
IF('Dados da OS'!$D$8=Parâmetros!$B$5,"PFS","")))</f>
        <v/>
      </c>
      <c r="AF317" s="57">
        <f>IFERROR(VLOOKUP(W317,'Fatores de Impacto e INMs'!$A$3:$D$32,3,0),1)</f>
        <v>1</v>
      </c>
      <c r="AG317" s="57">
        <f>IFERROR(VLOOKUP(W317,'Fatores de Impacto e INMs'!$A$3:$E$32,5,0),1)</f>
        <v>1</v>
      </c>
      <c r="AH317" s="82" t="str">
        <f xml:space="preserve">
IF(OR('Dados da OS'!$D$8="Selecione o tipo da contagem",ISBLANK('Dados da OS'!$D$8),V317="INM",V317="N/A",ISBLANK(V317),ISBLANK(W317),AG317="VF"),"-",
   IF('Dados da OS'!$D$8=Parâmetros!$B$3,
      IF(OR(ISBLANK(X317),ISBLANK(Z317)),"-",
         IF(AE317="L","Baixa",IF(AE317="A","Média",IF(AE317="H","Alta","-")))),
      IF('Dados da OS'!$D$8=Parâmetros!$B$4,
         IF(OR(V317="ALI",V317="AIE"),"Baixa",IF(OR(V317="EE",V317="SE",V317="CE"),"Média","-")),
         IF(OR('Dados da OS'!$D$8=Parâmetros!$B$5,'Dados da OS'!$D$8=Parâmetros!$B$6),"-"))))</f>
        <v>-</v>
      </c>
      <c r="AI317" s="83" t="str">
        <f xml:space="preserve">
IF(OR(ISBLANK(V317),ISBLANK(U317),ISBLANK(W317),V317="N/A",ISBLANK('Dados da OS'!$D$8)),"",
   IF(OR('Dados da OS'!$D$8=Parâmetros!$B$3,'Dados da OS'!$D$8=Parâmetros!$B$4),
      IF(OR(AND(V317="INM",AG317&lt;&gt;"VF"),AND(AG317="VF",V317&lt;&gt;"INM")),"",
        IF(AND(V317="INM",AG317="VF"),IF(ISBLANK(AB317),"",AF317*AB317),
        IF('Dados da OS'!$D$8=Parâmetros!$B$4,
           IF(OR(V317="CE",V317="EE"),4,IF(V317="SE",5,IF(V317="ALI",7,IF(V317="AIE",5,"")))),
        IF('Dados da OS'!$D$8=Parâmetros!$B$3,
           IF(OR(ISBLANK(X317),ISBLANK(Z317)),"",
              IF(V317="ALI",IF(AE317="L",7,IF(AE317="A",10,15)),
                 IF(V317="AIE",IF(AE317="L",5,IF(AE317="A",7,10)),
                    IF(V317="SE",IF(AE317="L",4,IF(AE317="A",5,7)),
                       IF(OR(V317="EE",V317="CE"),IF(AE317="L",3,IF(AE317="A",4,6)),""))))))))),
   IF('Dados da OS'!$D$8=Parâmetros!$B$5,
      IF(OR(AND(V317="INM",AG317&lt;&gt;"VF"),AND(AG317="VF",V317&lt;&gt;"INM")),"",
         IF(V317="INM",IF(AG317="VF",AF317*AB317,""),
            IF(V317="PE",4.6,
            IF(V317="AL",7,"")))),
   IF('Dados da OS'!$D$8=Parâmetros!$B$6,
      IF(V317="ALI",35,IF(V317="AIE",15,"")),""))
    )
)</f>
        <v/>
      </c>
      <c r="AJ317" s="82" t="str">
        <f t="shared" si="34"/>
        <v/>
      </c>
      <c r="AK317" s="84"/>
      <c r="AL317" s="85" t="s">
        <v>21</v>
      </c>
      <c r="AM317" s="86"/>
      <c r="AN317" s="85"/>
      <c r="AO317" s="87"/>
      <c r="AP317" s="85"/>
      <c r="AQ317" s="86"/>
      <c r="AR317" s="85"/>
    </row>
    <row r="318" spans="1:44" ht="15.75" customHeight="1">
      <c r="A318" s="54"/>
      <c r="B318" s="100"/>
      <c r="C318" s="55"/>
      <c r="D318" s="55"/>
      <c r="E318" s="56"/>
      <c r="F318" s="55"/>
      <c r="G318" s="56"/>
      <c r="H318" s="55"/>
      <c r="I318" s="64"/>
      <c r="J318" s="57" t="str">
        <f t="shared" si="35"/>
        <v/>
      </c>
      <c r="K318" s="57" t="str">
        <f t="shared" si="36"/>
        <v/>
      </c>
      <c r="L318" s="57" t="str">
        <f xml:space="preserve">
IF(OR('Dados da OS'!$D$8=Parâmetros!$B$3,'Dados da OS'!$D$8=Parâmetros!$B$4),
  IF(OR(ISBLANK(D318),ISBLANK(F318)),
     IF(OR(B318="ALI",B318="AIE"),"L",IF(ISBLANK(B318),"","A")),
     IF(B318="EE",IF(F318&gt;=3,IF(D318&gt;=5,"H","A"),
     IF(F318&gt;=2,IF(D318&gt;=16,"H",IF(D318&lt;=4,"L","A")),IF(D318&lt;=15,"L","A"))),
     IF(OR(B318="SE",B318="CE"),IF(F318&gt;=4,IF(D318&gt;=6,"H","A"),IF(F318&gt;=2,IF(D318&gt;=20,"H",IF(D318&lt;=5,"L","A")),IF(D318&lt;=19,"L","A"))),
     IF(OR(B318="ALI",B318="AIE"),IF(F318&gt;=6,IF(D318&gt;=20,"H","A"),IF(F318&gt;=2,IF(D318&gt;=51,"H",IF(D318&lt;=19,"L","A")),IF(D318&lt;=50,"L","A"))))))),
IF('Dados da OS'!$D$8=Parâmetros!$B$6,"Indicativa",
IF('Dados da OS'!$D$8=Parâmetros!$B$5,"PFS","")))</f>
        <v/>
      </c>
      <c r="M318" s="57">
        <f>IFERROR(VLOOKUP(C318,'Fatores de Impacto e INMs'!$A$3:$D$32,3,0),1)</f>
        <v>1</v>
      </c>
      <c r="N318" s="57">
        <f>IFERROR(VLOOKUP(C318,'Fatores de Impacto e INMs'!$A$3:$E$32,5,0),1)</f>
        <v>1</v>
      </c>
      <c r="O318" s="63" t="str">
        <f xml:space="preserve">
IF(OR('Dados da OS'!$D$8="Selecione o tipo da contagem",ISBLANK('Dados da OS'!$D$8),B318="INM",B318="N/A",ISBLANK(B318),ISBLANK(C318),N318="VF"),"-",
   IF('Dados da OS'!$D$8=Parâmetros!$B$3,
      IF(OR(ISBLANK(D318),ISBLANK(F318)),"-",
         IF(L318="L","Baixa",IF(L318="A","Média",IF(L318="H","Alta","-")))),
      IF('Dados da OS'!$D$8=Parâmetros!$B$4,
         IF(OR(B318="ALI",B318="AIE"),"Baixa",IF(OR(B318="EE",B318="SE",B318="CE"),"Média","-")),
         IF(OR('Dados da OS'!$D$8=Parâmetros!$B$5,'Dados da OS'!$D$8=Parâmetros!$B$6),"-"))))</f>
        <v>-</v>
      </c>
      <c r="P318" s="59" t="str">
        <f xml:space="preserve">
IF(OR(ISBLANK(B318),ISBLANK(C318),B318="N/A",ISBLANK('Dados da OS'!$D$8)),"",
   IF(OR('Dados da OS'!$D$8=Parâmetros!$B$3,'Dados da OS'!$D$8=Parâmetros!$B$4),
      IF(OR(AND(B318="INM",N318&lt;&gt;"VF"),AND(N318="VF",B318&lt;&gt;"INM")),"",
        IF(AND(B318="INM",N318="VF"),IF(ISBLANK(H318),"",M318*H318),
        IF('Dados da OS'!$D$8=Parâmetros!$B$4,
           IF(OR(B318="CE",B318="EE"),4,IF(B318="SE",5,IF(B318="ALI",7,IF(B318="AIE",5,"")))),
        IF('Dados da OS'!$D$8=Parâmetros!$B$3,
           IF(OR(ISBLANK(D318),ISBLANK(F318)),"",
              IF(B318="ALI",IF(L318="L",7,IF(L318="A",10,15)),
                 IF(B318="AIE",IF(L318="L",5,IF(L318="A",7,10)),
                    IF(B318="SE",IF(L318="L",4,IF(L318="A",5,7)),
                       IF(OR(B318="EE",B318="CE"),IF(L318="L",3,IF(L318="A",4,6)),""))))))))),
   IF('Dados da OS'!$D$8=Parâmetros!$B$5,
      IF(OR(AND(B318="INM",N318&lt;&gt;"VF"),AND(N318="VF",B318&lt;&gt;"INM")),"",
         IF(B318="INM",IF(N318="VF",M318*H318,""),
            IF(B318="PE",4.6,
            IF(B318="AL",7,"")))),
   IF('Dados da OS'!$D$8=Parâmetros!$B$6,
      IF(B318="ALI",35,IF(B318="AIE",15,"")),""))
    )
)</f>
        <v/>
      </c>
      <c r="Q318" s="60" t="str">
        <f t="shared" si="31"/>
        <v/>
      </c>
      <c r="R318" s="61"/>
      <c r="S318" s="62"/>
      <c r="T318" s="80" t="s">
        <v>21</v>
      </c>
      <c r="U318" s="81"/>
      <c r="V318" s="99"/>
      <c r="W318" s="55"/>
      <c r="X318" s="55"/>
      <c r="Y318" s="56"/>
      <c r="Z318" s="55"/>
      <c r="AA318" s="56"/>
      <c r="AB318" s="55"/>
      <c r="AC318" s="57" t="str">
        <f t="shared" si="32"/>
        <v/>
      </c>
      <c r="AD318" s="57" t="str">
        <f t="shared" si="33"/>
        <v/>
      </c>
      <c r="AE318" s="57" t="str">
        <f xml:space="preserve">
IF(OR('Dados da OS'!$D$8=Parâmetros!$B$3,'Dados da OS'!$D$8=Parâmetros!$B$4),
  IF(OR(ISBLANK(X318),ISBLANK(Z318)),
     IF(OR(V318="ALI",V318="AIE"),"L",IF(ISBLANK(V318),"","A")),
     IF(V318="EE",IF(Z318&gt;=3,IF(X318&gt;=5,"H","A"),
     IF(Z318&gt;=2,IF(X318&gt;=16,"H",IF(X318&lt;=4,"L","A")),IF(X318&lt;=15,"L","A"))),
     IF(OR(V318="SE",V318="CE"),IF(Z318&gt;=4,IF(X318&gt;=6,"H","A"),IF(Z318&gt;=2,IF(X318&gt;=20,"H",IF(X318&lt;=5,"L","A")),IF(X318&lt;=19,"L","A"))),
     IF(OR(V318="ALI",V318="AIE"),IF(Z318&gt;=6,IF(X318&gt;=20,"H","A"),IF(Z318&gt;=2,IF(X318&gt;=51,"H",IF(X318&lt;=19,"L","A")),IF(X318&lt;=50,"L","A"))))))),
IF('Dados da OS'!$D$8=Parâmetros!$B$6,"Indicativa",
IF('Dados da OS'!$D$8=Parâmetros!$B$5,"PFS","")))</f>
        <v/>
      </c>
      <c r="AF318" s="57">
        <f>IFERROR(VLOOKUP(W318,'Fatores de Impacto e INMs'!$A$3:$D$32,3,0),1)</f>
        <v>1</v>
      </c>
      <c r="AG318" s="57">
        <f>IFERROR(VLOOKUP(W318,'Fatores de Impacto e INMs'!$A$3:$E$32,5,0),1)</f>
        <v>1</v>
      </c>
      <c r="AH318" s="82" t="str">
        <f xml:space="preserve">
IF(OR('Dados da OS'!$D$8="Selecione o tipo da contagem",ISBLANK('Dados da OS'!$D$8),V318="INM",V318="N/A",ISBLANK(V318),ISBLANK(W318),AG318="VF"),"-",
   IF('Dados da OS'!$D$8=Parâmetros!$B$3,
      IF(OR(ISBLANK(X318),ISBLANK(Z318)),"-",
         IF(AE318="L","Baixa",IF(AE318="A","Média",IF(AE318="H","Alta","-")))),
      IF('Dados da OS'!$D$8=Parâmetros!$B$4,
         IF(OR(V318="ALI",V318="AIE"),"Baixa",IF(OR(V318="EE",V318="SE",V318="CE"),"Média","-")),
         IF(OR('Dados da OS'!$D$8=Parâmetros!$B$5,'Dados da OS'!$D$8=Parâmetros!$B$6),"-"))))</f>
        <v>-</v>
      </c>
      <c r="AI318" s="83" t="str">
        <f xml:space="preserve">
IF(OR(ISBLANK(V318),ISBLANK(U318),ISBLANK(W318),V318="N/A",ISBLANK('Dados da OS'!$D$8)),"",
   IF(OR('Dados da OS'!$D$8=Parâmetros!$B$3,'Dados da OS'!$D$8=Parâmetros!$B$4),
      IF(OR(AND(V318="INM",AG318&lt;&gt;"VF"),AND(AG318="VF",V318&lt;&gt;"INM")),"",
        IF(AND(V318="INM",AG318="VF"),IF(ISBLANK(AB318),"",AF318*AB318),
        IF('Dados da OS'!$D$8=Parâmetros!$B$4,
           IF(OR(V318="CE",V318="EE"),4,IF(V318="SE",5,IF(V318="ALI",7,IF(V318="AIE",5,"")))),
        IF('Dados da OS'!$D$8=Parâmetros!$B$3,
           IF(OR(ISBLANK(X318),ISBLANK(Z318)),"",
              IF(V318="ALI",IF(AE318="L",7,IF(AE318="A",10,15)),
                 IF(V318="AIE",IF(AE318="L",5,IF(AE318="A",7,10)),
                    IF(V318="SE",IF(AE318="L",4,IF(AE318="A",5,7)),
                       IF(OR(V318="EE",V318="CE"),IF(AE318="L",3,IF(AE318="A",4,6)),""))))))))),
   IF('Dados da OS'!$D$8=Parâmetros!$B$5,
      IF(OR(AND(V318="INM",AG318&lt;&gt;"VF"),AND(AG318="VF",V318&lt;&gt;"INM")),"",
         IF(V318="INM",IF(AG318="VF",AF318*AB318,""),
            IF(V318="PE",4.6,
            IF(V318="AL",7,"")))),
   IF('Dados da OS'!$D$8=Parâmetros!$B$6,
      IF(V318="ALI",35,IF(V318="AIE",15,"")),""))
    )
)</f>
        <v/>
      </c>
      <c r="AJ318" s="82" t="str">
        <f t="shared" si="34"/>
        <v/>
      </c>
      <c r="AK318" s="84"/>
      <c r="AL318" s="85" t="s">
        <v>21</v>
      </c>
      <c r="AM318" s="86"/>
      <c r="AN318" s="85"/>
      <c r="AO318" s="87"/>
      <c r="AP318" s="85"/>
      <c r="AQ318" s="86"/>
      <c r="AR318" s="85"/>
    </row>
    <row r="319" spans="1:44" ht="15.75" customHeight="1">
      <c r="A319" s="54"/>
      <c r="B319" s="100"/>
      <c r="C319" s="55"/>
      <c r="D319" s="55"/>
      <c r="E319" s="56"/>
      <c r="F319" s="55"/>
      <c r="G319" s="56"/>
      <c r="H319" s="55"/>
      <c r="I319" s="64"/>
      <c r="J319" s="57" t="str">
        <f t="shared" si="35"/>
        <v/>
      </c>
      <c r="K319" s="57" t="str">
        <f t="shared" si="36"/>
        <v/>
      </c>
      <c r="L319" s="57" t="str">
        <f xml:space="preserve">
IF(OR('Dados da OS'!$D$8=Parâmetros!$B$3,'Dados da OS'!$D$8=Parâmetros!$B$4),
  IF(OR(ISBLANK(D319),ISBLANK(F319)),
     IF(OR(B319="ALI",B319="AIE"),"L",IF(ISBLANK(B319),"","A")),
     IF(B319="EE",IF(F319&gt;=3,IF(D319&gt;=5,"H","A"),
     IF(F319&gt;=2,IF(D319&gt;=16,"H",IF(D319&lt;=4,"L","A")),IF(D319&lt;=15,"L","A"))),
     IF(OR(B319="SE",B319="CE"),IF(F319&gt;=4,IF(D319&gt;=6,"H","A"),IF(F319&gt;=2,IF(D319&gt;=20,"H",IF(D319&lt;=5,"L","A")),IF(D319&lt;=19,"L","A"))),
     IF(OR(B319="ALI",B319="AIE"),IF(F319&gt;=6,IF(D319&gt;=20,"H","A"),IF(F319&gt;=2,IF(D319&gt;=51,"H",IF(D319&lt;=19,"L","A")),IF(D319&lt;=50,"L","A"))))))),
IF('Dados da OS'!$D$8=Parâmetros!$B$6,"Indicativa",
IF('Dados da OS'!$D$8=Parâmetros!$B$5,"PFS","")))</f>
        <v/>
      </c>
      <c r="M319" s="57">
        <f>IFERROR(VLOOKUP(C319,'Fatores de Impacto e INMs'!$A$3:$D$32,3,0),1)</f>
        <v>1</v>
      </c>
      <c r="N319" s="57">
        <f>IFERROR(VLOOKUP(C319,'Fatores de Impacto e INMs'!$A$3:$E$32,5,0),1)</f>
        <v>1</v>
      </c>
      <c r="O319" s="63" t="str">
        <f xml:space="preserve">
IF(OR('Dados da OS'!$D$8="Selecione o tipo da contagem",ISBLANK('Dados da OS'!$D$8),B319="INM",B319="N/A",ISBLANK(B319),ISBLANK(C319),N319="VF"),"-",
   IF('Dados da OS'!$D$8=Parâmetros!$B$3,
      IF(OR(ISBLANK(D319),ISBLANK(F319)),"-",
         IF(L319="L","Baixa",IF(L319="A","Média",IF(L319="H","Alta","-")))),
      IF('Dados da OS'!$D$8=Parâmetros!$B$4,
         IF(OR(B319="ALI",B319="AIE"),"Baixa",IF(OR(B319="EE",B319="SE",B319="CE"),"Média","-")),
         IF(OR('Dados da OS'!$D$8=Parâmetros!$B$5,'Dados da OS'!$D$8=Parâmetros!$B$6),"-"))))</f>
        <v>-</v>
      </c>
      <c r="P319" s="59" t="str">
        <f xml:space="preserve">
IF(OR(ISBLANK(B319),ISBLANK(C319),B319="N/A",ISBLANK('Dados da OS'!$D$8)),"",
   IF(OR('Dados da OS'!$D$8=Parâmetros!$B$3,'Dados da OS'!$D$8=Parâmetros!$B$4),
      IF(OR(AND(B319="INM",N319&lt;&gt;"VF"),AND(N319="VF",B319&lt;&gt;"INM")),"",
        IF(AND(B319="INM",N319="VF"),IF(ISBLANK(H319),"",M319*H319),
        IF('Dados da OS'!$D$8=Parâmetros!$B$4,
           IF(OR(B319="CE",B319="EE"),4,IF(B319="SE",5,IF(B319="ALI",7,IF(B319="AIE",5,"")))),
        IF('Dados da OS'!$D$8=Parâmetros!$B$3,
           IF(OR(ISBLANK(D319),ISBLANK(F319)),"",
              IF(B319="ALI",IF(L319="L",7,IF(L319="A",10,15)),
                 IF(B319="AIE",IF(L319="L",5,IF(L319="A",7,10)),
                    IF(B319="SE",IF(L319="L",4,IF(L319="A",5,7)),
                       IF(OR(B319="EE",B319="CE"),IF(L319="L",3,IF(L319="A",4,6)),""))))))))),
   IF('Dados da OS'!$D$8=Parâmetros!$B$5,
      IF(OR(AND(B319="INM",N319&lt;&gt;"VF"),AND(N319="VF",B319&lt;&gt;"INM")),"",
         IF(B319="INM",IF(N319="VF",M319*H319,""),
            IF(B319="PE",4.6,
            IF(B319="AL",7,"")))),
   IF('Dados da OS'!$D$8=Parâmetros!$B$6,
      IF(B319="ALI",35,IF(B319="AIE",15,"")),""))
    )
)</f>
        <v/>
      </c>
      <c r="Q319" s="60" t="str">
        <f t="shared" si="31"/>
        <v/>
      </c>
      <c r="R319" s="61"/>
      <c r="S319" s="62"/>
      <c r="T319" s="80" t="s">
        <v>21</v>
      </c>
      <c r="U319" s="81"/>
      <c r="V319" s="99"/>
      <c r="W319" s="55"/>
      <c r="X319" s="55"/>
      <c r="Y319" s="56"/>
      <c r="Z319" s="55"/>
      <c r="AA319" s="56"/>
      <c r="AB319" s="55"/>
      <c r="AC319" s="57" t="str">
        <f t="shared" si="32"/>
        <v/>
      </c>
      <c r="AD319" s="57" t="str">
        <f t="shared" si="33"/>
        <v/>
      </c>
      <c r="AE319" s="57" t="str">
        <f xml:space="preserve">
IF(OR('Dados da OS'!$D$8=Parâmetros!$B$3,'Dados da OS'!$D$8=Parâmetros!$B$4),
  IF(OR(ISBLANK(X319),ISBLANK(Z319)),
     IF(OR(V319="ALI",V319="AIE"),"L",IF(ISBLANK(V319),"","A")),
     IF(V319="EE",IF(Z319&gt;=3,IF(X319&gt;=5,"H","A"),
     IF(Z319&gt;=2,IF(X319&gt;=16,"H",IF(X319&lt;=4,"L","A")),IF(X319&lt;=15,"L","A"))),
     IF(OR(V319="SE",V319="CE"),IF(Z319&gt;=4,IF(X319&gt;=6,"H","A"),IF(Z319&gt;=2,IF(X319&gt;=20,"H",IF(X319&lt;=5,"L","A")),IF(X319&lt;=19,"L","A"))),
     IF(OR(V319="ALI",V319="AIE"),IF(Z319&gt;=6,IF(X319&gt;=20,"H","A"),IF(Z319&gt;=2,IF(X319&gt;=51,"H",IF(X319&lt;=19,"L","A")),IF(X319&lt;=50,"L","A"))))))),
IF('Dados da OS'!$D$8=Parâmetros!$B$6,"Indicativa",
IF('Dados da OS'!$D$8=Parâmetros!$B$5,"PFS","")))</f>
        <v/>
      </c>
      <c r="AF319" s="57">
        <f>IFERROR(VLOOKUP(W319,'Fatores de Impacto e INMs'!$A$3:$D$32,3,0),1)</f>
        <v>1</v>
      </c>
      <c r="AG319" s="57">
        <f>IFERROR(VLOOKUP(W319,'Fatores de Impacto e INMs'!$A$3:$E$32,5,0),1)</f>
        <v>1</v>
      </c>
      <c r="AH319" s="82" t="str">
        <f xml:space="preserve">
IF(OR('Dados da OS'!$D$8="Selecione o tipo da contagem",ISBLANK('Dados da OS'!$D$8),V319="INM",V319="N/A",ISBLANK(V319),ISBLANK(W319),AG319="VF"),"-",
   IF('Dados da OS'!$D$8=Parâmetros!$B$3,
      IF(OR(ISBLANK(X319),ISBLANK(Z319)),"-",
         IF(AE319="L","Baixa",IF(AE319="A","Média",IF(AE319="H","Alta","-")))),
      IF('Dados da OS'!$D$8=Parâmetros!$B$4,
         IF(OR(V319="ALI",V319="AIE"),"Baixa",IF(OR(V319="EE",V319="SE",V319="CE"),"Média","-")),
         IF(OR('Dados da OS'!$D$8=Parâmetros!$B$5,'Dados da OS'!$D$8=Parâmetros!$B$6),"-"))))</f>
        <v>-</v>
      </c>
      <c r="AI319" s="83" t="str">
        <f xml:space="preserve">
IF(OR(ISBLANK(V319),ISBLANK(U319),ISBLANK(W319),V319="N/A",ISBLANK('Dados da OS'!$D$8)),"",
   IF(OR('Dados da OS'!$D$8=Parâmetros!$B$3,'Dados da OS'!$D$8=Parâmetros!$B$4),
      IF(OR(AND(V319="INM",AG319&lt;&gt;"VF"),AND(AG319="VF",V319&lt;&gt;"INM")),"",
        IF(AND(V319="INM",AG319="VF"),IF(ISBLANK(AB319),"",AF319*AB319),
        IF('Dados da OS'!$D$8=Parâmetros!$B$4,
           IF(OR(V319="CE",V319="EE"),4,IF(V319="SE",5,IF(V319="ALI",7,IF(V319="AIE",5,"")))),
        IF('Dados da OS'!$D$8=Parâmetros!$B$3,
           IF(OR(ISBLANK(X319),ISBLANK(Z319)),"",
              IF(V319="ALI",IF(AE319="L",7,IF(AE319="A",10,15)),
                 IF(V319="AIE",IF(AE319="L",5,IF(AE319="A",7,10)),
                    IF(V319="SE",IF(AE319="L",4,IF(AE319="A",5,7)),
                       IF(OR(V319="EE",V319="CE"),IF(AE319="L",3,IF(AE319="A",4,6)),""))))))))),
   IF('Dados da OS'!$D$8=Parâmetros!$B$5,
      IF(OR(AND(V319="INM",AG319&lt;&gt;"VF"),AND(AG319="VF",V319&lt;&gt;"INM")),"",
         IF(V319="INM",IF(AG319="VF",AF319*AB319,""),
            IF(V319="PE",4.6,
            IF(V319="AL",7,"")))),
   IF('Dados da OS'!$D$8=Parâmetros!$B$6,
      IF(V319="ALI",35,IF(V319="AIE",15,"")),""))
    )
)</f>
        <v/>
      </c>
      <c r="AJ319" s="82" t="str">
        <f t="shared" si="34"/>
        <v/>
      </c>
      <c r="AK319" s="84"/>
      <c r="AL319" s="85" t="s">
        <v>21</v>
      </c>
      <c r="AM319" s="86"/>
      <c r="AN319" s="85"/>
      <c r="AO319" s="87"/>
      <c r="AP319" s="85"/>
      <c r="AQ319" s="86"/>
      <c r="AR319" s="85"/>
    </row>
    <row r="320" spans="1:44" ht="15.75" customHeight="1">
      <c r="A320" s="54"/>
      <c r="B320" s="100"/>
      <c r="C320" s="55"/>
      <c r="D320" s="55"/>
      <c r="E320" s="56"/>
      <c r="F320" s="55"/>
      <c r="G320" s="56"/>
      <c r="H320" s="55"/>
      <c r="I320" s="64"/>
      <c r="J320" s="57" t="str">
        <f t="shared" si="35"/>
        <v/>
      </c>
      <c r="K320" s="57" t="str">
        <f t="shared" si="36"/>
        <v/>
      </c>
      <c r="L320" s="57" t="str">
        <f xml:space="preserve">
IF(OR('Dados da OS'!$D$8=Parâmetros!$B$3,'Dados da OS'!$D$8=Parâmetros!$B$4),
  IF(OR(ISBLANK(D320),ISBLANK(F320)),
     IF(OR(B320="ALI",B320="AIE"),"L",IF(ISBLANK(B320),"","A")),
     IF(B320="EE",IF(F320&gt;=3,IF(D320&gt;=5,"H","A"),
     IF(F320&gt;=2,IF(D320&gt;=16,"H",IF(D320&lt;=4,"L","A")),IF(D320&lt;=15,"L","A"))),
     IF(OR(B320="SE",B320="CE"),IF(F320&gt;=4,IF(D320&gt;=6,"H","A"),IF(F320&gt;=2,IF(D320&gt;=20,"H",IF(D320&lt;=5,"L","A")),IF(D320&lt;=19,"L","A"))),
     IF(OR(B320="ALI",B320="AIE"),IF(F320&gt;=6,IF(D320&gt;=20,"H","A"),IF(F320&gt;=2,IF(D320&gt;=51,"H",IF(D320&lt;=19,"L","A")),IF(D320&lt;=50,"L","A"))))))),
IF('Dados da OS'!$D$8=Parâmetros!$B$6,"Indicativa",
IF('Dados da OS'!$D$8=Parâmetros!$B$5,"PFS","")))</f>
        <v/>
      </c>
      <c r="M320" s="57">
        <f>IFERROR(VLOOKUP(C320,'Fatores de Impacto e INMs'!$A$3:$D$32,3,0),1)</f>
        <v>1</v>
      </c>
      <c r="N320" s="57">
        <f>IFERROR(VLOOKUP(C320,'Fatores de Impacto e INMs'!$A$3:$E$32,5,0),1)</f>
        <v>1</v>
      </c>
      <c r="O320" s="63" t="str">
        <f xml:space="preserve">
IF(OR('Dados da OS'!$D$8="Selecione o tipo da contagem",ISBLANK('Dados da OS'!$D$8),B320="INM",B320="N/A",ISBLANK(B320),ISBLANK(C320),N320="VF"),"-",
   IF('Dados da OS'!$D$8=Parâmetros!$B$3,
      IF(OR(ISBLANK(D320),ISBLANK(F320)),"-",
         IF(L320="L","Baixa",IF(L320="A","Média",IF(L320="H","Alta","-")))),
      IF('Dados da OS'!$D$8=Parâmetros!$B$4,
         IF(OR(B320="ALI",B320="AIE"),"Baixa",IF(OR(B320="EE",B320="SE",B320="CE"),"Média","-")),
         IF(OR('Dados da OS'!$D$8=Parâmetros!$B$5,'Dados da OS'!$D$8=Parâmetros!$B$6),"-"))))</f>
        <v>-</v>
      </c>
      <c r="P320" s="59" t="str">
        <f xml:space="preserve">
IF(OR(ISBLANK(B320),ISBLANK(C320),B320="N/A",ISBLANK('Dados da OS'!$D$8)),"",
   IF(OR('Dados da OS'!$D$8=Parâmetros!$B$3,'Dados da OS'!$D$8=Parâmetros!$B$4),
      IF(OR(AND(B320="INM",N320&lt;&gt;"VF"),AND(N320="VF",B320&lt;&gt;"INM")),"",
        IF(AND(B320="INM",N320="VF"),IF(ISBLANK(H320),"",M320*H320),
        IF('Dados da OS'!$D$8=Parâmetros!$B$4,
           IF(OR(B320="CE",B320="EE"),4,IF(B320="SE",5,IF(B320="ALI",7,IF(B320="AIE",5,"")))),
        IF('Dados da OS'!$D$8=Parâmetros!$B$3,
           IF(OR(ISBLANK(D320),ISBLANK(F320)),"",
              IF(B320="ALI",IF(L320="L",7,IF(L320="A",10,15)),
                 IF(B320="AIE",IF(L320="L",5,IF(L320="A",7,10)),
                    IF(B320="SE",IF(L320="L",4,IF(L320="A",5,7)),
                       IF(OR(B320="EE",B320="CE"),IF(L320="L",3,IF(L320="A",4,6)),""))))))))),
   IF('Dados da OS'!$D$8=Parâmetros!$B$5,
      IF(OR(AND(B320="INM",N320&lt;&gt;"VF"),AND(N320="VF",B320&lt;&gt;"INM")),"",
         IF(B320="INM",IF(N320="VF",M320*H320,""),
            IF(B320="PE",4.6,
            IF(B320="AL",7,"")))),
   IF('Dados da OS'!$D$8=Parâmetros!$B$6,
      IF(B320="ALI",35,IF(B320="AIE",15,"")),""))
    )
)</f>
        <v/>
      </c>
      <c r="Q320" s="60" t="str">
        <f t="shared" si="31"/>
        <v/>
      </c>
      <c r="R320" s="61"/>
      <c r="S320" s="62"/>
      <c r="T320" s="80" t="s">
        <v>21</v>
      </c>
      <c r="U320" s="81"/>
      <c r="V320" s="99"/>
      <c r="W320" s="55"/>
      <c r="X320" s="55"/>
      <c r="Y320" s="56"/>
      <c r="Z320" s="55"/>
      <c r="AA320" s="56"/>
      <c r="AB320" s="55"/>
      <c r="AC320" s="57" t="str">
        <f t="shared" si="32"/>
        <v/>
      </c>
      <c r="AD320" s="57" t="str">
        <f t="shared" si="33"/>
        <v/>
      </c>
      <c r="AE320" s="57" t="str">
        <f xml:space="preserve">
IF(OR('Dados da OS'!$D$8=Parâmetros!$B$3,'Dados da OS'!$D$8=Parâmetros!$B$4),
  IF(OR(ISBLANK(X320),ISBLANK(Z320)),
     IF(OR(V320="ALI",V320="AIE"),"L",IF(ISBLANK(V320),"","A")),
     IF(V320="EE",IF(Z320&gt;=3,IF(X320&gt;=5,"H","A"),
     IF(Z320&gt;=2,IF(X320&gt;=16,"H",IF(X320&lt;=4,"L","A")),IF(X320&lt;=15,"L","A"))),
     IF(OR(V320="SE",V320="CE"),IF(Z320&gt;=4,IF(X320&gt;=6,"H","A"),IF(Z320&gt;=2,IF(X320&gt;=20,"H",IF(X320&lt;=5,"L","A")),IF(X320&lt;=19,"L","A"))),
     IF(OR(V320="ALI",V320="AIE"),IF(Z320&gt;=6,IF(X320&gt;=20,"H","A"),IF(Z320&gt;=2,IF(X320&gt;=51,"H",IF(X320&lt;=19,"L","A")),IF(X320&lt;=50,"L","A"))))))),
IF('Dados da OS'!$D$8=Parâmetros!$B$6,"Indicativa",
IF('Dados da OS'!$D$8=Parâmetros!$B$5,"PFS","")))</f>
        <v/>
      </c>
      <c r="AF320" s="57">
        <f>IFERROR(VLOOKUP(W320,'Fatores de Impacto e INMs'!$A$3:$D$32,3,0),1)</f>
        <v>1</v>
      </c>
      <c r="AG320" s="57">
        <f>IFERROR(VLOOKUP(W320,'Fatores de Impacto e INMs'!$A$3:$E$32,5,0),1)</f>
        <v>1</v>
      </c>
      <c r="AH320" s="82" t="str">
        <f xml:space="preserve">
IF(OR('Dados da OS'!$D$8="Selecione o tipo da contagem",ISBLANK('Dados da OS'!$D$8),V320="INM",V320="N/A",ISBLANK(V320),ISBLANK(W320),AG320="VF"),"-",
   IF('Dados da OS'!$D$8=Parâmetros!$B$3,
      IF(OR(ISBLANK(X320),ISBLANK(Z320)),"-",
         IF(AE320="L","Baixa",IF(AE320="A","Média",IF(AE320="H","Alta","-")))),
      IF('Dados da OS'!$D$8=Parâmetros!$B$4,
         IF(OR(V320="ALI",V320="AIE"),"Baixa",IF(OR(V320="EE",V320="SE",V320="CE"),"Média","-")),
         IF(OR('Dados da OS'!$D$8=Parâmetros!$B$5,'Dados da OS'!$D$8=Parâmetros!$B$6),"-"))))</f>
        <v>-</v>
      </c>
      <c r="AI320" s="83" t="str">
        <f xml:space="preserve">
IF(OR(ISBLANK(V320),ISBLANK(U320),ISBLANK(W320),V320="N/A",ISBLANK('Dados da OS'!$D$8)),"",
   IF(OR('Dados da OS'!$D$8=Parâmetros!$B$3,'Dados da OS'!$D$8=Parâmetros!$B$4),
      IF(OR(AND(V320="INM",AG320&lt;&gt;"VF"),AND(AG320="VF",V320&lt;&gt;"INM")),"",
        IF(AND(V320="INM",AG320="VF"),IF(ISBLANK(AB320),"",AF320*AB320),
        IF('Dados da OS'!$D$8=Parâmetros!$B$4,
           IF(OR(V320="CE",V320="EE"),4,IF(V320="SE",5,IF(V320="ALI",7,IF(V320="AIE",5,"")))),
        IF('Dados da OS'!$D$8=Parâmetros!$B$3,
           IF(OR(ISBLANK(X320),ISBLANK(Z320)),"",
              IF(V320="ALI",IF(AE320="L",7,IF(AE320="A",10,15)),
                 IF(V320="AIE",IF(AE320="L",5,IF(AE320="A",7,10)),
                    IF(V320="SE",IF(AE320="L",4,IF(AE320="A",5,7)),
                       IF(OR(V320="EE",V320="CE"),IF(AE320="L",3,IF(AE320="A",4,6)),""))))))))),
   IF('Dados da OS'!$D$8=Parâmetros!$B$5,
      IF(OR(AND(V320="INM",AG320&lt;&gt;"VF"),AND(AG320="VF",V320&lt;&gt;"INM")),"",
         IF(V320="INM",IF(AG320="VF",AF320*AB320,""),
            IF(V320="PE",4.6,
            IF(V320="AL",7,"")))),
   IF('Dados da OS'!$D$8=Parâmetros!$B$6,
      IF(V320="ALI",35,IF(V320="AIE",15,"")),""))
    )
)</f>
        <v/>
      </c>
      <c r="AJ320" s="82" t="str">
        <f t="shared" si="34"/>
        <v/>
      </c>
      <c r="AK320" s="84"/>
      <c r="AL320" s="85" t="s">
        <v>21</v>
      </c>
      <c r="AM320" s="86"/>
      <c r="AN320" s="85"/>
      <c r="AO320" s="87"/>
      <c r="AP320" s="85"/>
      <c r="AQ320" s="86"/>
      <c r="AR320" s="85"/>
    </row>
    <row r="321" spans="1:44" ht="15.75" customHeight="1">
      <c r="A321" s="54"/>
      <c r="B321" s="100"/>
      <c r="C321" s="55"/>
      <c r="D321" s="55"/>
      <c r="E321" s="56"/>
      <c r="F321" s="55"/>
      <c r="G321" s="56"/>
      <c r="H321" s="55"/>
      <c r="I321" s="64"/>
      <c r="J321" s="57" t="str">
        <f t="shared" si="35"/>
        <v/>
      </c>
      <c r="K321" s="57" t="str">
        <f t="shared" si="36"/>
        <v/>
      </c>
      <c r="L321" s="57" t="str">
        <f xml:space="preserve">
IF(OR('Dados da OS'!$D$8=Parâmetros!$B$3,'Dados da OS'!$D$8=Parâmetros!$B$4),
  IF(OR(ISBLANK(D321),ISBLANK(F321)),
     IF(OR(B321="ALI",B321="AIE"),"L",IF(ISBLANK(B321),"","A")),
     IF(B321="EE",IF(F321&gt;=3,IF(D321&gt;=5,"H","A"),
     IF(F321&gt;=2,IF(D321&gt;=16,"H",IF(D321&lt;=4,"L","A")),IF(D321&lt;=15,"L","A"))),
     IF(OR(B321="SE",B321="CE"),IF(F321&gt;=4,IF(D321&gt;=6,"H","A"),IF(F321&gt;=2,IF(D321&gt;=20,"H",IF(D321&lt;=5,"L","A")),IF(D321&lt;=19,"L","A"))),
     IF(OR(B321="ALI",B321="AIE"),IF(F321&gt;=6,IF(D321&gt;=20,"H","A"),IF(F321&gt;=2,IF(D321&gt;=51,"H",IF(D321&lt;=19,"L","A")),IF(D321&lt;=50,"L","A"))))))),
IF('Dados da OS'!$D$8=Parâmetros!$B$6,"Indicativa",
IF('Dados da OS'!$D$8=Parâmetros!$B$5,"PFS","")))</f>
        <v/>
      </c>
      <c r="M321" s="57">
        <f>IFERROR(VLOOKUP(C321,'Fatores de Impacto e INMs'!$A$3:$D$32,3,0),1)</f>
        <v>1</v>
      </c>
      <c r="N321" s="57">
        <f>IFERROR(VLOOKUP(C321,'Fatores de Impacto e INMs'!$A$3:$E$32,5,0),1)</f>
        <v>1</v>
      </c>
      <c r="O321" s="63" t="str">
        <f xml:space="preserve">
IF(OR('Dados da OS'!$D$8="Selecione o tipo da contagem",ISBLANK('Dados da OS'!$D$8),B321="INM",B321="N/A",ISBLANK(B321),ISBLANK(C321),N321="VF"),"-",
   IF('Dados da OS'!$D$8=Parâmetros!$B$3,
      IF(OR(ISBLANK(D321),ISBLANK(F321)),"-",
         IF(L321="L","Baixa",IF(L321="A","Média",IF(L321="H","Alta","-")))),
      IF('Dados da OS'!$D$8=Parâmetros!$B$4,
         IF(OR(B321="ALI",B321="AIE"),"Baixa",IF(OR(B321="EE",B321="SE",B321="CE"),"Média","-")),
         IF(OR('Dados da OS'!$D$8=Parâmetros!$B$5,'Dados da OS'!$D$8=Parâmetros!$B$6),"-"))))</f>
        <v>-</v>
      </c>
      <c r="P321" s="59" t="str">
        <f xml:space="preserve">
IF(OR(ISBLANK(B321),ISBLANK(C321),B321="N/A",ISBLANK('Dados da OS'!$D$8)),"",
   IF(OR('Dados da OS'!$D$8=Parâmetros!$B$3,'Dados da OS'!$D$8=Parâmetros!$B$4),
      IF(OR(AND(B321="INM",N321&lt;&gt;"VF"),AND(N321="VF",B321&lt;&gt;"INM")),"",
        IF(AND(B321="INM",N321="VF"),IF(ISBLANK(H321),"",M321*H321),
        IF('Dados da OS'!$D$8=Parâmetros!$B$4,
           IF(OR(B321="CE",B321="EE"),4,IF(B321="SE",5,IF(B321="ALI",7,IF(B321="AIE",5,"")))),
        IF('Dados da OS'!$D$8=Parâmetros!$B$3,
           IF(OR(ISBLANK(D321),ISBLANK(F321)),"",
              IF(B321="ALI",IF(L321="L",7,IF(L321="A",10,15)),
                 IF(B321="AIE",IF(L321="L",5,IF(L321="A",7,10)),
                    IF(B321="SE",IF(L321="L",4,IF(L321="A",5,7)),
                       IF(OR(B321="EE",B321="CE"),IF(L321="L",3,IF(L321="A",4,6)),""))))))))),
   IF('Dados da OS'!$D$8=Parâmetros!$B$5,
      IF(OR(AND(B321="INM",N321&lt;&gt;"VF"),AND(N321="VF",B321&lt;&gt;"INM")),"",
         IF(B321="INM",IF(N321="VF",M321*H321,""),
            IF(B321="PE",4.6,
            IF(B321="AL",7,"")))),
   IF('Dados da OS'!$D$8=Parâmetros!$B$6,
      IF(B321="ALI",35,IF(B321="AIE",15,"")),""))
    )
)</f>
        <v/>
      </c>
      <c r="Q321" s="60" t="str">
        <f t="shared" si="31"/>
        <v/>
      </c>
      <c r="R321" s="61"/>
      <c r="S321" s="62"/>
      <c r="T321" s="80" t="s">
        <v>21</v>
      </c>
      <c r="U321" s="81"/>
      <c r="V321" s="99"/>
      <c r="W321" s="55"/>
      <c r="X321" s="55"/>
      <c r="Y321" s="56"/>
      <c r="Z321" s="55"/>
      <c r="AA321" s="56"/>
      <c r="AB321" s="55"/>
      <c r="AC321" s="57" t="str">
        <f t="shared" si="32"/>
        <v/>
      </c>
      <c r="AD321" s="57" t="str">
        <f t="shared" si="33"/>
        <v/>
      </c>
      <c r="AE321" s="57" t="str">
        <f xml:space="preserve">
IF(OR('Dados da OS'!$D$8=Parâmetros!$B$3,'Dados da OS'!$D$8=Parâmetros!$B$4),
  IF(OR(ISBLANK(X321),ISBLANK(Z321)),
     IF(OR(V321="ALI",V321="AIE"),"L",IF(ISBLANK(V321),"","A")),
     IF(V321="EE",IF(Z321&gt;=3,IF(X321&gt;=5,"H","A"),
     IF(Z321&gt;=2,IF(X321&gt;=16,"H",IF(X321&lt;=4,"L","A")),IF(X321&lt;=15,"L","A"))),
     IF(OR(V321="SE",V321="CE"),IF(Z321&gt;=4,IF(X321&gt;=6,"H","A"),IF(Z321&gt;=2,IF(X321&gt;=20,"H",IF(X321&lt;=5,"L","A")),IF(X321&lt;=19,"L","A"))),
     IF(OR(V321="ALI",V321="AIE"),IF(Z321&gt;=6,IF(X321&gt;=20,"H","A"),IF(Z321&gt;=2,IF(X321&gt;=51,"H",IF(X321&lt;=19,"L","A")),IF(X321&lt;=50,"L","A"))))))),
IF('Dados da OS'!$D$8=Parâmetros!$B$6,"Indicativa",
IF('Dados da OS'!$D$8=Parâmetros!$B$5,"PFS","")))</f>
        <v/>
      </c>
      <c r="AF321" s="57">
        <f>IFERROR(VLOOKUP(W321,'Fatores de Impacto e INMs'!$A$3:$D$32,3,0),1)</f>
        <v>1</v>
      </c>
      <c r="AG321" s="57">
        <f>IFERROR(VLOOKUP(W321,'Fatores de Impacto e INMs'!$A$3:$E$32,5,0),1)</f>
        <v>1</v>
      </c>
      <c r="AH321" s="82" t="str">
        <f xml:space="preserve">
IF(OR('Dados da OS'!$D$8="Selecione o tipo da contagem",ISBLANK('Dados da OS'!$D$8),V321="INM",V321="N/A",ISBLANK(V321),ISBLANK(W321),AG321="VF"),"-",
   IF('Dados da OS'!$D$8=Parâmetros!$B$3,
      IF(OR(ISBLANK(X321),ISBLANK(Z321)),"-",
         IF(AE321="L","Baixa",IF(AE321="A","Média",IF(AE321="H","Alta","-")))),
      IF('Dados da OS'!$D$8=Parâmetros!$B$4,
         IF(OR(V321="ALI",V321="AIE"),"Baixa",IF(OR(V321="EE",V321="SE",V321="CE"),"Média","-")),
         IF(OR('Dados da OS'!$D$8=Parâmetros!$B$5,'Dados da OS'!$D$8=Parâmetros!$B$6),"-"))))</f>
        <v>-</v>
      </c>
      <c r="AI321" s="83" t="str">
        <f xml:space="preserve">
IF(OR(ISBLANK(V321),ISBLANK(U321),ISBLANK(W321),V321="N/A",ISBLANK('Dados da OS'!$D$8)),"",
   IF(OR('Dados da OS'!$D$8=Parâmetros!$B$3,'Dados da OS'!$D$8=Parâmetros!$B$4),
      IF(OR(AND(V321="INM",AG321&lt;&gt;"VF"),AND(AG321="VF",V321&lt;&gt;"INM")),"",
        IF(AND(V321="INM",AG321="VF"),IF(ISBLANK(AB321),"",AF321*AB321),
        IF('Dados da OS'!$D$8=Parâmetros!$B$4,
           IF(OR(V321="CE",V321="EE"),4,IF(V321="SE",5,IF(V321="ALI",7,IF(V321="AIE",5,"")))),
        IF('Dados da OS'!$D$8=Parâmetros!$B$3,
           IF(OR(ISBLANK(X321),ISBLANK(Z321)),"",
              IF(V321="ALI",IF(AE321="L",7,IF(AE321="A",10,15)),
                 IF(V321="AIE",IF(AE321="L",5,IF(AE321="A",7,10)),
                    IF(V321="SE",IF(AE321="L",4,IF(AE321="A",5,7)),
                       IF(OR(V321="EE",V321="CE"),IF(AE321="L",3,IF(AE321="A",4,6)),""))))))))),
   IF('Dados da OS'!$D$8=Parâmetros!$B$5,
      IF(OR(AND(V321="INM",AG321&lt;&gt;"VF"),AND(AG321="VF",V321&lt;&gt;"INM")),"",
         IF(V321="INM",IF(AG321="VF",AF321*AB321,""),
            IF(V321="PE",4.6,
            IF(V321="AL",7,"")))),
   IF('Dados da OS'!$D$8=Parâmetros!$B$6,
      IF(V321="ALI",35,IF(V321="AIE",15,"")),""))
    )
)</f>
        <v/>
      </c>
      <c r="AJ321" s="82" t="str">
        <f t="shared" si="34"/>
        <v/>
      </c>
      <c r="AK321" s="84"/>
      <c r="AL321" s="85" t="s">
        <v>21</v>
      </c>
      <c r="AM321" s="86"/>
      <c r="AN321" s="85"/>
      <c r="AO321" s="87"/>
      <c r="AP321" s="85"/>
      <c r="AQ321" s="86"/>
      <c r="AR321" s="85"/>
    </row>
    <row r="322" spans="1:44" ht="15.75" customHeight="1">
      <c r="A322" s="54"/>
      <c r="B322" s="100"/>
      <c r="C322" s="55"/>
      <c r="D322" s="55"/>
      <c r="E322" s="56"/>
      <c r="F322" s="55"/>
      <c r="G322" s="56"/>
      <c r="H322" s="55"/>
      <c r="I322" s="64"/>
      <c r="J322" s="57" t="str">
        <f t="shared" si="35"/>
        <v/>
      </c>
      <c r="K322" s="57" t="str">
        <f t="shared" si="36"/>
        <v/>
      </c>
      <c r="L322" s="57" t="str">
        <f xml:space="preserve">
IF(OR('Dados da OS'!$D$8=Parâmetros!$B$3,'Dados da OS'!$D$8=Parâmetros!$B$4),
  IF(OR(ISBLANK(D322),ISBLANK(F322)),
     IF(OR(B322="ALI",B322="AIE"),"L",IF(ISBLANK(B322),"","A")),
     IF(B322="EE",IF(F322&gt;=3,IF(D322&gt;=5,"H","A"),
     IF(F322&gt;=2,IF(D322&gt;=16,"H",IF(D322&lt;=4,"L","A")),IF(D322&lt;=15,"L","A"))),
     IF(OR(B322="SE",B322="CE"),IF(F322&gt;=4,IF(D322&gt;=6,"H","A"),IF(F322&gt;=2,IF(D322&gt;=20,"H",IF(D322&lt;=5,"L","A")),IF(D322&lt;=19,"L","A"))),
     IF(OR(B322="ALI",B322="AIE"),IF(F322&gt;=6,IF(D322&gt;=20,"H","A"),IF(F322&gt;=2,IF(D322&gt;=51,"H",IF(D322&lt;=19,"L","A")),IF(D322&lt;=50,"L","A"))))))),
IF('Dados da OS'!$D$8=Parâmetros!$B$6,"Indicativa",
IF('Dados da OS'!$D$8=Parâmetros!$B$5,"PFS","")))</f>
        <v/>
      </c>
      <c r="M322" s="57">
        <f>IFERROR(VLOOKUP(C322,'Fatores de Impacto e INMs'!$A$3:$D$32,3,0),1)</f>
        <v>1</v>
      </c>
      <c r="N322" s="57">
        <f>IFERROR(VLOOKUP(C322,'Fatores de Impacto e INMs'!$A$3:$E$32,5,0),1)</f>
        <v>1</v>
      </c>
      <c r="O322" s="63" t="str">
        <f xml:space="preserve">
IF(OR('Dados da OS'!$D$8="Selecione o tipo da contagem",ISBLANK('Dados da OS'!$D$8),B322="INM",B322="N/A",ISBLANK(B322),ISBLANK(C322),N322="VF"),"-",
   IF('Dados da OS'!$D$8=Parâmetros!$B$3,
      IF(OR(ISBLANK(D322),ISBLANK(F322)),"-",
         IF(L322="L","Baixa",IF(L322="A","Média",IF(L322="H","Alta","-")))),
      IF('Dados da OS'!$D$8=Parâmetros!$B$4,
         IF(OR(B322="ALI",B322="AIE"),"Baixa",IF(OR(B322="EE",B322="SE",B322="CE"),"Média","-")),
         IF(OR('Dados da OS'!$D$8=Parâmetros!$B$5,'Dados da OS'!$D$8=Parâmetros!$B$6),"-"))))</f>
        <v>-</v>
      </c>
      <c r="P322" s="59" t="str">
        <f xml:space="preserve">
IF(OR(ISBLANK(B322),ISBLANK(C322),B322="N/A",ISBLANK('Dados da OS'!$D$8)),"",
   IF(OR('Dados da OS'!$D$8=Parâmetros!$B$3,'Dados da OS'!$D$8=Parâmetros!$B$4),
      IF(OR(AND(B322="INM",N322&lt;&gt;"VF"),AND(N322="VF",B322&lt;&gt;"INM")),"",
        IF(AND(B322="INM",N322="VF"),IF(ISBLANK(H322),"",M322*H322),
        IF('Dados da OS'!$D$8=Parâmetros!$B$4,
           IF(OR(B322="CE",B322="EE"),4,IF(B322="SE",5,IF(B322="ALI",7,IF(B322="AIE",5,"")))),
        IF('Dados da OS'!$D$8=Parâmetros!$B$3,
           IF(OR(ISBLANK(D322),ISBLANK(F322)),"",
              IF(B322="ALI",IF(L322="L",7,IF(L322="A",10,15)),
                 IF(B322="AIE",IF(L322="L",5,IF(L322="A",7,10)),
                    IF(B322="SE",IF(L322="L",4,IF(L322="A",5,7)),
                       IF(OR(B322="EE",B322="CE"),IF(L322="L",3,IF(L322="A",4,6)),""))))))))),
   IF('Dados da OS'!$D$8=Parâmetros!$B$5,
      IF(OR(AND(B322="INM",N322&lt;&gt;"VF"),AND(N322="VF",B322&lt;&gt;"INM")),"",
         IF(B322="INM",IF(N322="VF",M322*H322,""),
            IF(B322="PE",4.6,
            IF(B322="AL",7,"")))),
   IF('Dados da OS'!$D$8=Parâmetros!$B$6,
      IF(B322="ALI",35,IF(B322="AIE",15,"")),""))
    )
)</f>
        <v/>
      </c>
      <c r="Q322" s="60" t="str">
        <f t="shared" si="31"/>
        <v/>
      </c>
      <c r="R322" s="61"/>
      <c r="S322" s="62"/>
      <c r="T322" s="80" t="s">
        <v>21</v>
      </c>
      <c r="U322" s="81"/>
      <c r="V322" s="99"/>
      <c r="W322" s="55"/>
      <c r="X322" s="55"/>
      <c r="Y322" s="56"/>
      <c r="Z322" s="55"/>
      <c r="AA322" s="56"/>
      <c r="AB322" s="55"/>
      <c r="AC322" s="57" t="str">
        <f t="shared" si="32"/>
        <v/>
      </c>
      <c r="AD322" s="57" t="str">
        <f t="shared" si="33"/>
        <v/>
      </c>
      <c r="AE322" s="57" t="str">
        <f xml:space="preserve">
IF(OR('Dados da OS'!$D$8=Parâmetros!$B$3,'Dados da OS'!$D$8=Parâmetros!$B$4),
  IF(OR(ISBLANK(X322),ISBLANK(Z322)),
     IF(OR(V322="ALI",V322="AIE"),"L",IF(ISBLANK(V322),"","A")),
     IF(V322="EE",IF(Z322&gt;=3,IF(X322&gt;=5,"H","A"),
     IF(Z322&gt;=2,IF(X322&gt;=16,"H",IF(X322&lt;=4,"L","A")),IF(X322&lt;=15,"L","A"))),
     IF(OR(V322="SE",V322="CE"),IF(Z322&gt;=4,IF(X322&gt;=6,"H","A"),IF(Z322&gt;=2,IF(X322&gt;=20,"H",IF(X322&lt;=5,"L","A")),IF(X322&lt;=19,"L","A"))),
     IF(OR(V322="ALI",V322="AIE"),IF(Z322&gt;=6,IF(X322&gt;=20,"H","A"),IF(Z322&gt;=2,IF(X322&gt;=51,"H",IF(X322&lt;=19,"L","A")),IF(X322&lt;=50,"L","A"))))))),
IF('Dados da OS'!$D$8=Parâmetros!$B$6,"Indicativa",
IF('Dados da OS'!$D$8=Parâmetros!$B$5,"PFS","")))</f>
        <v/>
      </c>
      <c r="AF322" s="57">
        <f>IFERROR(VLOOKUP(W322,'Fatores de Impacto e INMs'!$A$3:$D$32,3,0),1)</f>
        <v>1</v>
      </c>
      <c r="AG322" s="57">
        <f>IFERROR(VLOOKUP(W322,'Fatores de Impacto e INMs'!$A$3:$E$32,5,0),1)</f>
        <v>1</v>
      </c>
      <c r="AH322" s="82" t="str">
        <f xml:space="preserve">
IF(OR('Dados da OS'!$D$8="Selecione o tipo da contagem",ISBLANK('Dados da OS'!$D$8),V322="INM",V322="N/A",ISBLANK(V322),ISBLANK(W322),AG322="VF"),"-",
   IF('Dados da OS'!$D$8=Parâmetros!$B$3,
      IF(OR(ISBLANK(X322),ISBLANK(Z322)),"-",
         IF(AE322="L","Baixa",IF(AE322="A","Média",IF(AE322="H","Alta","-")))),
      IF('Dados da OS'!$D$8=Parâmetros!$B$4,
         IF(OR(V322="ALI",V322="AIE"),"Baixa",IF(OR(V322="EE",V322="SE",V322="CE"),"Média","-")),
         IF(OR('Dados da OS'!$D$8=Parâmetros!$B$5,'Dados da OS'!$D$8=Parâmetros!$B$6),"-"))))</f>
        <v>-</v>
      </c>
      <c r="AI322" s="83" t="str">
        <f xml:space="preserve">
IF(OR(ISBLANK(V322),ISBLANK(U322),ISBLANK(W322),V322="N/A",ISBLANK('Dados da OS'!$D$8)),"",
   IF(OR('Dados da OS'!$D$8=Parâmetros!$B$3,'Dados da OS'!$D$8=Parâmetros!$B$4),
      IF(OR(AND(V322="INM",AG322&lt;&gt;"VF"),AND(AG322="VF",V322&lt;&gt;"INM")),"",
        IF(AND(V322="INM",AG322="VF"),IF(ISBLANK(AB322),"",AF322*AB322),
        IF('Dados da OS'!$D$8=Parâmetros!$B$4,
           IF(OR(V322="CE",V322="EE"),4,IF(V322="SE",5,IF(V322="ALI",7,IF(V322="AIE",5,"")))),
        IF('Dados da OS'!$D$8=Parâmetros!$B$3,
           IF(OR(ISBLANK(X322),ISBLANK(Z322)),"",
              IF(V322="ALI",IF(AE322="L",7,IF(AE322="A",10,15)),
                 IF(V322="AIE",IF(AE322="L",5,IF(AE322="A",7,10)),
                    IF(V322="SE",IF(AE322="L",4,IF(AE322="A",5,7)),
                       IF(OR(V322="EE",V322="CE"),IF(AE322="L",3,IF(AE322="A",4,6)),""))))))))),
   IF('Dados da OS'!$D$8=Parâmetros!$B$5,
      IF(OR(AND(V322="INM",AG322&lt;&gt;"VF"),AND(AG322="VF",V322&lt;&gt;"INM")),"",
         IF(V322="INM",IF(AG322="VF",AF322*AB322,""),
            IF(V322="PE",4.6,
            IF(V322="AL",7,"")))),
   IF('Dados da OS'!$D$8=Parâmetros!$B$6,
      IF(V322="ALI",35,IF(V322="AIE",15,"")),""))
    )
)</f>
        <v/>
      </c>
      <c r="AJ322" s="82" t="str">
        <f t="shared" si="34"/>
        <v/>
      </c>
      <c r="AK322" s="84"/>
      <c r="AL322" s="85" t="s">
        <v>21</v>
      </c>
      <c r="AM322" s="86"/>
      <c r="AN322" s="85"/>
      <c r="AO322" s="87"/>
      <c r="AP322" s="85"/>
      <c r="AQ322" s="86"/>
      <c r="AR322" s="85"/>
    </row>
    <row r="323" spans="1:44" ht="15.75" customHeight="1">
      <c r="A323" s="54"/>
      <c r="B323" s="100"/>
      <c r="C323" s="55"/>
      <c r="D323" s="55"/>
      <c r="E323" s="56"/>
      <c r="F323" s="55"/>
      <c r="G323" s="56"/>
      <c r="H323" s="55"/>
      <c r="I323" s="64"/>
      <c r="J323" s="57" t="str">
        <f t="shared" si="35"/>
        <v/>
      </c>
      <c r="K323" s="57" t="str">
        <f t="shared" si="36"/>
        <v/>
      </c>
      <c r="L323" s="57" t="str">
        <f xml:space="preserve">
IF(OR('Dados da OS'!$D$8=Parâmetros!$B$3,'Dados da OS'!$D$8=Parâmetros!$B$4),
  IF(OR(ISBLANK(D323),ISBLANK(F323)),
     IF(OR(B323="ALI",B323="AIE"),"L",IF(ISBLANK(B323),"","A")),
     IF(B323="EE",IF(F323&gt;=3,IF(D323&gt;=5,"H","A"),
     IF(F323&gt;=2,IF(D323&gt;=16,"H",IF(D323&lt;=4,"L","A")),IF(D323&lt;=15,"L","A"))),
     IF(OR(B323="SE",B323="CE"),IF(F323&gt;=4,IF(D323&gt;=6,"H","A"),IF(F323&gt;=2,IF(D323&gt;=20,"H",IF(D323&lt;=5,"L","A")),IF(D323&lt;=19,"L","A"))),
     IF(OR(B323="ALI",B323="AIE"),IF(F323&gt;=6,IF(D323&gt;=20,"H","A"),IF(F323&gt;=2,IF(D323&gt;=51,"H",IF(D323&lt;=19,"L","A")),IF(D323&lt;=50,"L","A"))))))),
IF('Dados da OS'!$D$8=Parâmetros!$B$6,"Indicativa",
IF('Dados da OS'!$D$8=Parâmetros!$B$5,"PFS","")))</f>
        <v/>
      </c>
      <c r="M323" s="57">
        <f>IFERROR(VLOOKUP(C323,'Fatores de Impacto e INMs'!$A$3:$D$32,3,0),1)</f>
        <v>1</v>
      </c>
      <c r="N323" s="57">
        <f>IFERROR(VLOOKUP(C323,'Fatores de Impacto e INMs'!$A$3:$E$32,5,0),1)</f>
        <v>1</v>
      </c>
      <c r="O323" s="63" t="str">
        <f xml:space="preserve">
IF(OR('Dados da OS'!$D$8="Selecione o tipo da contagem",ISBLANK('Dados da OS'!$D$8),B323="INM",B323="N/A",ISBLANK(B323),ISBLANK(C323),N323="VF"),"-",
   IF('Dados da OS'!$D$8=Parâmetros!$B$3,
      IF(OR(ISBLANK(D323),ISBLANK(F323)),"-",
         IF(L323="L","Baixa",IF(L323="A","Média",IF(L323="H","Alta","-")))),
      IF('Dados da OS'!$D$8=Parâmetros!$B$4,
         IF(OR(B323="ALI",B323="AIE"),"Baixa",IF(OR(B323="EE",B323="SE",B323="CE"),"Média","-")),
         IF(OR('Dados da OS'!$D$8=Parâmetros!$B$5,'Dados da OS'!$D$8=Parâmetros!$B$6),"-"))))</f>
        <v>-</v>
      </c>
      <c r="P323" s="59" t="str">
        <f xml:space="preserve">
IF(OR(ISBLANK(B323),ISBLANK(C323),B323="N/A",ISBLANK('Dados da OS'!$D$8)),"",
   IF(OR('Dados da OS'!$D$8=Parâmetros!$B$3,'Dados da OS'!$D$8=Parâmetros!$B$4),
      IF(OR(AND(B323="INM",N323&lt;&gt;"VF"),AND(N323="VF",B323&lt;&gt;"INM")),"",
        IF(AND(B323="INM",N323="VF"),IF(ISBLANK(H323),"",M323*H323),
        IF('Dados da OS'!$D$8=Parâmetros!$B$4,
           IF(OR(B323="CE",B323="EE"),4,IF(B323="SE",5,IF(B323="ALI",7,IF(B323="AIE",5,"")))),
        IF('Dados da OS'!$D$8=Parâmetros!$B$3,
           IF(OR(ISBLANK(D323),ISBLANK(F323)),"",
              IF(B323="ALI",IF(L323="L",7,IF(L323="A",10,15)),
                 IF(B323="AIE",IF(L323="L",5,IF(L323="A",7,10)),
                    IF(B323="SE",IF(L323="L",4,IF(L323="A",5,7)),
                       IF(OR(B323="EE",B323="CE"),IF(L323="L",3,IF(L323="A",4,6)),""))))))))),
   IF('Dados da OS'!$D$8=Parâmetros!$B$5,
      IF(OR(AND(B323="INM",N323&lt;&gt;"VF"),AND(N323="VF",B323&lt;&gt;"INM")),"",
         IF(B323="INM",IF(N323="VF",M323*H323,""),
            IF(B323="PE",4.6,
            IF(B323="AL",7,"")))),
   IF('Dados da OS'!$D$8=Parâmetros!$B$6,
      IF(B323="ALI",35,IF(B323="AIE",15,"")),""))
    )
)</f>
        <v/>
      </c>
      <c r="Q323" s="60" t="str">
        <f t="shared" si="31"/>
        <v/>
      </c>
      <c r="R323" s="61"/>
      <c r="S323" s="62"/>
      <c r="T323" s="80" t="s">
        <v>21</v>
      </c>
      <c r="U323" s="81"/>
      <c r="V323" s="99"/>
      <c r="W323" s="55"/>
      <c r="X323" s="55"/>
      <c r="Y323" s="56"/>
      <c r="Z323" s="55"/>
      <c r="AA323" s="56"/>
      <c r="AB323" s="55"/>
      <c r="AC323" s="57" t="str">
        <f t="shared" si="32"/>
        <v/>
      </c>
      <c r="AD323" s="57" t="str">
        <f t="shared" si="33"/>
        <v/>
      </c>
      <c r="AE323" s="57" t="str">
        <f xml:space="preserve">
IF(OR('Dados da OS'!$D$8=Parâmetros!$B$3,'Dados da OS'!$D$8=Parâmetros!$B$4),
  IF(OR(ISBLANK(X323),ISBLANK(Z323)),
     IF(OR(V323="ALI",V323="AIE"),"L",IF(ISBLANK(V323),"","A")),
     IF(V323="EE",IF(Z323&gt;=3,IF(X323&gt;=5,"H","A"),
     IF(Z323&gt;=2,IF(X323&gt;=16,"H",IF(X323&lt;=4,"L","A")),IF(X323&lt;=15,"L","A"))),
     IF(OR(V323="SE",V323="CE"),IF(Z323&gt;=4,IF(X323&gt;=6,"H","A"),IF(Z323&gt;=2,IF(X323&gt;=20,"H",IF(X323&lt;=5,"L","A")),IF(X323&lt;=19,"L","A"))),
     IF(OR(V323="ALI",V323="AIE"),IF(Z323&gt;=6,IF(X323&gt;=20,"H","A"),IF(Z323&gt;=2,IF(X323&gt;=51,"H",IF(X323&lt;=19,"L","A")),IF(X323&lt;=50,"L","A"))))))),
IF('Dados da OS'!$D$8=Parâmetros!$B$6,"Indicativa",
IF('Dados da OS'!$D$8=Parâmetros!$B$5,"PFS","")))</f>
        <v/>
      </c>
      <c r="AF323" s="57">
        <f>IFERROR(VLOOKUP(W323,'Fatores de Impacto e INMs'!$A$3:$D$32,3,0),1)</f>
        <v>1</v>
      </c>
      <c r="AG323" s="57">
        <f>IFERROR(VLOOKUP(W323,'Fatores de Impacto e INMs'!$A$3:$E$32,5,0),1)</f>
        <v>1</v>
      </c>
      <c r="AH323" s="82" t="str">
        <f xml:space="preserve">
IF(OR('Dados da OS'!$D$8="Selecione o tipo da contagem",ISBLANK('Dados da OS'!$D$8),V323="INM",V323="N/A",ISBLANK(V323),ISBLANK(W323),AG323="VF"),"-",
   IF('Dados da OS'!$D$8=Parâmetros!$B$3,
      IF(OR(ISBLANK(X323),ISBLANK(Z323)),"-",
         IF(AE323="L","Baixa",IF(AE323="A","Média",IF(AE323="H","Alta","-")))),
      IF('Dados da OS'!$D$8=Parâmetros!$B$4,
         IF(OR(V323="ALI",V323="AIE"),"Baixa",IF(OR(V323="EE",V323="SE",V323="CE"),"Média","-")),
         IF(OR('Dados da OS'!$D$8=Parâmetros!$B$5,'Dados da OS'!$D$8=Parâmetros!$B$6),"-"))))</f>
        <v>-</v>
      </c>
      <c r="AI323" s="83" t="str">
        <f xml:space="preserve">
IF(OR(ISBLANK(V323),ISBLANK(U323),ISBLANK(W323),V323="N/A",ISBLANK('Dados da OS'!$D$8)),"",
   IF(OR('Dados da OS'!$D$8=Parâmetros!$B$3,'Dados da OS'!$D$8=Parâmetros!$B$4),
      IF(OR(AND(V323="INM",AG323&lt;&gt;"VF"),AND(AG323="VF",V323&lt;&gt;"INM")),"",
        IF(AND(V323="INM",AG323="VF"),IF(ISBLANK(AB323),"",AF323*AB323),
        IF('Dados da OS'!$D$8=Parâmetros!$B$4,
           IF(OR(V323="CE",V323="EE"),4,IF(V323="SE",5,IF(V323="ALI",7,IF(V323="AIE",5,"")))),
        IF('Dados da OS'!$D$8=Parâmetros!$B$3,
           IF(OR(ISBLANK(X323),ISBLANK(Z323)),"",
              IF(V323="ALI",IF(AE323="L",7,IF(AE323="A",10,15)),
                 IF(V323="AIE",IF(AE323="L",5,IF(AE323="A",7,10)),
                    IF(V323="SE",IF(AE323="L",4,IF(AE323="A",5,7)),
                       IF(OR(V323="EE",V323="CE"),IF(AE323="L",3,IF(AE323="A",4,6)),""))))))))),
   IF('Dados da OS'!$D$8=Parâmetros!$B$5,
      IF(OR(AND(V323="INM",AG323&lt;&gt;"VF"),AND(AG323="VF",V323&lt;&gt;"INM")),"",
         IF(V323="INM",IF(AG323="VF",AF323*AB323,""),
            IF(V323="PE",4.6,
            IF(V323="AL",7,"")))),
   IF('Dados da OS'!$D$8=Parâmetros!$B$6,
      IF(V323="ALI",35,IF(V323="AIE",15,"")),""))
    )
)</f>
        <v/>
      </c>
      <c r="AJ323" s="82" t="str">
        <f t="shared" si="34"/>
        <v/>
      </c>
      <c r="AK323" s="84"/>
      <c r="AL323" s="85" t="s">
        <v>21</v>
      </c>
      <c r="AM323" s="86"/>
      <c r="AN323" s="85"/>
      <c r="AO323" s="87"/>
      <c r="AP323" s="85"/>
      <c r="AQ323" s="86"/>
      <c r="AR323" s="85"/>
    </row>
    <row r="324" spans="1:44" ht="15.75" customHeight="1">
      <c r="A324" s="54"/>
      <c r="B324" s="100"/>
      <c r="C324" s="55"/>
      <c r="D324" s="55"/>
      <c r="E324" s="56"/>
      <c r="F324" s="55"/>
      <c r="G324" s="56"/>
      <c r="H324" s="55"/>
      <c r="I324" s="64"/>
      <c r="J324" s="57" t="str">
        <f t="shared" si="35"/>
        <v/>
      </c>
      <c r="K324" s="57" t="str">
        <f t="shared" si="36"/>
        <v/>
      </c>
      <c r="L324" s="57" t="str">
        <f xml:space="preserve">
IF(OR('Dados da OS'!$D$8=Parâmetros!$B$3,'Dados da OS'!$D$8=Parâmetros!$B$4),
  IF(OR(ISBLANK(D324),ISBLANK(F324)),
     IF(OR(B324="ALI",B324="AIE"),"L",IF(ISBLANK(B324),"","A")),
     IF(B324="EE",IF(F324&gt;=3,IF(D324&gt;=5,"H","A"),
     IF(F324&gt;=2,IF(D324&gt;=16,"H",IF(D324&lt;=4,"L","A")),IF(D324&lt;=15,"L","A"))),
     IF(OR(B324="SE",B324="CE"),IF(F324&gt;=4,IF(D324&gt;=6,"H","A"),IF(F324&gt;=2,IF(D324&gt;=20,"H",IF(D324&lt;=5,"L","A")),IF(D324&lt;=19,"L","A"))),
     IF(OR(B324="ALI",B324="AIE"),IF(F324&gt;=6,IF(D324&gt;=20,"H","A"),IF(F324&gt;=2,IF(D324&gt;=51,"H",IF(D324&lt;=19,"L","A")),IF(D324&lt;=50,"L","A"))))))),
IF('Dados da OS'!$D$8=Parâmetros!$B$6,"Indicativa",
IF('Dados da OS'!$D$8=Parâmetros!$B$5,"PFS","")))</f>
        <v/>
      </c>
      <c r="M324" s="57">
        <f>IFERROR(VLOOKUP(C324,'Fatores de Impacto e INMs'!$A$3:$D$32,3,0),1)</f>
        <v>1</v>
      </c>
      <c r="N324" s="57">
        <f>IFERROR(VLOOKUP(C324,'Fatores de Impacto e INMs'!$A$3:$E$32,5,0),1)</f>
        <v>1</v>
      </c>
      <c r="O324" s="63" t="str">
        <f xml:space="preserve">
IF(OR('Dados da OS'!$D$8="Selecione o tipo da contagem",ISBLANK('Dados da OS'!$D$8),B324="INM",B324="N/A",ISBLANK(B324),ISBLANK(C324),N324="VF"),"-",
   IF('Dados da OS'!$D$8=Parâmetros!$B$3,
      IF(OR(ISBLANK(D324),ISBLANK(F324)),"-",
         IF(L324="L","Baixa",IF(L324="A","Média",IF(L324="H","Alta","-")))),
      IF('Dados da OS'!$D$8=Parâmetros!$B$4,
         IF(OR(B324="ALI",B324="AIE"),"Baixa",IF(OR(B324="EE",B324="SE",B324="CE"),"Média","-")),
         IF(OR('Dados da OS'!$D$8=Parâmetros!$B$5,'Dados da OS'!$D$8=Parâmetros!$B$6),"-"))))</f>
        <v>-</v>
      </c>
      <c r="P324" s="59" t="str">
        <f xml:space="preserve">
IF(OR(ISBLANK(B324),ISBLANK(C324),B324="N/A",ISBLANK('Dados da OS'!$D$8)),"",
   IF(OR('Dados da OS'!$D$8=Parâmetros!$B$3,'Dados da OS'!$D$8=Parâmetros!$B$4),
      IF(OR(AND(B324="INM",N324&lt;&gt;"VF"),AND(N324="VF",B324&lt;&gt;"INM")),"",
        IF(AND(B324="INM",N324="VF"),IF(ISBLANK(H324),"",M324*H324),
        IF('Dados da OS'!$D$8=Parâmetros!$B$4,
           IF(OR(B324="CE",B324="EE"),4,IF(B324="SE",5,IF(B324="ALI",7,IF(B324="AIE",5,"")))),
        IF('Dados da OS'!$D$8=Parâmetros!$B$3,
           IF(OR(ISBLANK(D324),ISBLANK(F324)),"",
              IF(B324="ALI",IF(L324="L",7,IF(L324="A",10,15)),
                 IF(B324="AIE",IF(L324="L",5,IF(L324="A",7,10)),
                    IF(B324="SE",IF(L324="L",4,IF(L324="A",5,7)),
                       IF(OR(B324="EE",B324="CE"),IF(L324="L",3,IF(L324="A",4,6)),""))))))))),
   IF('Dados da OS'!$D$8=Parâmetros!$B$5,
      IF(OR(AND(B324="INM",N324&lt;&gt;"VF"),AND(N324="VF",B324&lt;&gt;"INM")),"",
         IF(B324="INM",IF(N324="VF",M324*H324,""),
            IF(B324="PE",4.6,
            IF(B324="AL",7,"")))),
   IF('Dados da OS'!$D$8=Parâmetros!$B$6,
      IF(B324="ALI",35,IF(B324="AIE",15,"")),""))
    )
)</f>
        <v/>
      </c>
      <c r="Q324" s="60" t="str">
        <f t="shared" si="31"/>
        <v/>
      </c>
      <c r="R324" s="61"/>
      <c r="S324" s="62"/>
      <c r="T324" s="80" t="s">
        <v>21</v>
      </c>
      <c r="U324" s="81"/>
      <c r="V324" s="99"/>
      <c r="W324" s="55"/>
      <c r="X324" s="55"/>
      <c r="Y324" s="56"/>
      <c r="Z324" s="55"/>
      <c r="AA324" s="56"/>
      <c r="AB324" s="55"/>
      <c r="AC324" s="57" t="str">
        <f t="shared" si="32"/>
        <v/>
      </c>
      <c r="AD324" s="57" t="str">
        <f t="shared" si="33"/>
        <v/>
      </c>
      <c r="AE324" s="57" t="str">
        <f xml:space="preserve">
IF(OR('Dados da OS'!$D$8=Parâmetros!$B$3,'Dados da OS'!$D$8=Parâmetros!$B$4),
  IF(OR(ISBLANK(X324),ISBLANK(Z324)),
     IF(OR(V324="ALI",V324="AIE"),"L",IF(ISBLANK(V324),"","A")),
     IF(V324="EE",IF(Z324&gt;=3,IF(X324&gt;=5,"H","A"),
     IF(Z324&gt;=2,IF(X324&gt;=16,"H",IF(X324&lt;=4,"L","A")),IF(X324&lt;=15,"L","A"))),
     IF(OR(V324="SE",V324="CE"),IF(Z324&gt;=4,IF(X324&gt;=6,"H","A"),IF(Z324&gt;=2,IF(X324&gt;=20,"H",IF(X324&lt;=5,"L","A")),IF(X324&lt;=19,"L","A"))),
     IF(OR(V324="ALI",V324="AIE"),IF(Z324&gt;=6,IF(X324&gt;=20,"H","A"),IF(Z324&gt;=2,IF(X324&gt;=51,"H",IF(X324&lt;=19,"L","A")),IF(X324&lt;=50,"L","A"))))))),
IF('Dados da OS'!$D$8=Parâmetros!$B$6,"Indicativa",
IF('Dados da OS'!$D$8=Parâmetros!$B$5,"PFS","")))</f>
        <v/>
      </c>
      <c r="AF324" s="57">
        <f>IFERROR(VLOOKUP(W324,'Fatores de Impacto e INMs'!$A$3:$D$32,3,0),1)</f>
        <v>1</v>
      </c>
      <c r="AG324" s="57">
        <f>IFERROR(VLOOKUP(W324,'Fatores de Impacto e INMs'!$A$3:$E$32,5,0),1)</f>
        <v>1</v>
      </c>
      <c r="AH324" s="82" t="str">
        <f xml:space="preserve">
IF(OR('Dados da OS'!$D$8="Selecione o tipo da contagem",ISBLANK('Dados da OS'!$D$8),V324="INM",V324="N/A",ISBLANK(V324),ISBLANK(W324),AG324="VF"),"-",
   IF('Dados da OS'!$D$8=Parâmetros!$B$3,
      IF(OR(ISBLANK(X324),ISBLANK(Z324)),"-",
         IF(AE324="L","Baixa",IF(AE324="A","Média",IF(AE324="H","Alta","-")))),
      IF('Dados da OS'!$D$8=Parâmetros!$B$4,
         IF(OR(V324="ALI",V324="AIE"),"Baixa",IF(OR(V324="EE",V324="SE",V324="CE"),"Média","-")),
         IF(OR('Dados da OS'!$D$8=Parâmetros!$B$5,'Dados da OS'!$D$8=Parâmetros!$B$6),"-"))))</f>
        <v>-</v>
      </c>
      <c r="AI324" s="83" t="str">
        <f xml:space="preserve">
IF(OR(ISBLANK(V324),ISBLANK(U324),ISBLANK(W324),V324="N/A",ISBLANK('Dados da OS'!$D$8)),"",
   IF(OR('Dados da OS'!$D$8=Parâmetros!$B$3,'Dados da OS'!$D$8=Parâmetros!$B$4),
      IF(OR(AND(V324="INM",AG324&lt;&gt;"VF"),AND(AG324="VF",V324&lt;&gt;"INM")),"",
        IF(AND(V324="INM",AG324="VF"),IF(ISBLANK(AB324),"",AF324*AB324),
        IF('Dados da OS'!$D$8=Parâmetros!$B$4,
           IF(OR(V324="CE",V324="EE"),4,IF(V324="SE",5,IF(V324="ALI",7,IF(V324="AIE",5,"")))),
        IF('Dados da OS'!$D$8=Parâmetros!$B$3,
           IF(OR(ISBLANK(X324),ISBLANK(Z324)),"",
              IF(V324="ALI",IF(AE324="L",7,IF(AE324="A",10,15)),
                 IF(V324="AIE",IF(AE324="L",5,IF(AE324="A",7,10)),
                    IF(V324="SE",IF(AE324="L",4,IF(AE324="A",5,7)),
                       IF(OR(V324="EE",V324="CE"),IF(AE324="L",3,IF(AE324="A",4,6)),""))))))))),
   IF('Dados da OS'!$D$8=Parâmetros!$B$5,
      IF(OR(AND(V324="INM",AG324&lt;&gt;"VF"),AND(AG324="VF",V324&lt;&gt;"INM")),"",
         IF(V324="INM",IF(AG324="VF",AF324*AB324,""),
            IF(V324="PE",4.6,
            IF(V324="AL",7,"")))),
   IF('Dados da OS'!$D$8=Parâmetros!$B$6,
      IF(V324="ALI",35,IF(V324="AIE",15,"")),""))
    )
)</f>
        <v/>
      </c>
      <c r="AJ324" s="82" t="str">
        <f t="shared" si="34"/>
        <v/>
      </c>
      <c r="AK324" s="84"/>
      <c r="AL324" s="85" t="s">
        <v>21</v>
      </c>
      <c r="AM324" s="86"/>
      <c r="AN324" s="85"/>
      <c r="AO324" s="87"/>
      <c r="AP324" s="85"/>
      <c r="AQ324" s="86"/>
      <c r="AR324" s="85"/>
    </row>
    <row r="325" spans="1:44" ht="15.75" customHeight="1">
      <c r="A325" s="54"/>
      <c r="B325" s="100"/>
      <c r="C325" s="55"/>
      <c r="D325" s="55"/>
      <c r="E325" s="56"/>
      <c r="F325" s="55"/>
      <c r="G325" s="56"/>
      <c r="H325" s="55"/>
      <c r="I325" s="64"/>
      <c r="J325" s="57" t="str">
        <f t="shared" si="35"/>
        <v/>
      </c>
      <c r="K325" s="57" t="str">
        <f t="shared" si="36"/>
        <v/>
      </c>
      <c r="L325" s="57" t="str">
        <f xml:space="preserve">
IF(OR('Dados da OS'!$D$8=Parâmetros!$B$3,'Dados da OS'!$D$8=Parâmetros!$B$4),
  IF(OR(ISBLANK(D325),ISBLANK(F325)),
     IF(OR(B325="ALI",B325="AIE"),"L",IF(ISBLANK(B325),"","A")),
     IF(B325="EE",IF(F325&gt;=3,IF(D325&gt;=5,"H","A"),
     IF(F325&gt;=2,IF(D325&gt;=16,"H",IF(D325&lt;=4,"L","A")),IF(D325&lt;=15,"L","A"))),
     IF(OR(B325="SE",B325="CE"),IF(F325&gt;=4,IF(D325&gt;=6,"H","A"),IF(F325&gt;=2,IF(D325&gt;=20,"H",IF(D325&lt;=5,"L","A")),IF(D325&lt;=19,"L","A"))),
     IF(OR(B325="ALI",B325="AIE"),IF(F325&gt;=6,IF(D325&gt;=20,"H","A"),IF(F325&gt;=2,IF(D325&gt;=51,"H",IF(D325&lt;=19,"L","A")),IF(D325&lt;=50,"L","A"))))))),
IF('Dados da OS'!$D$8=Parâmetros!$B$6,"Indicativa",
IF('Dados da OS'!$D$8=Parâmetros!$B$5,"PFS","")))</f>
        <v/>
      </c>
      <c r="M325" s="57">
        <f>IFERROR(VLOOKUP(C325,'Fatores de Impacto e INMs'!$A$3:$D$32,3,0),1)</f>
        <v>1</v>
      </c>
      <c r="N325" s="57">
        <f>IFERROR(VLOOKUP(C325,'Fatores de Impacto e INMs'!$A$3:$E$32,5,0),1)</f>
        <v>1</v>
      </c>
      <c r="O325" s="63" t="str">
        <f xml:space="preserve">
IF(OR('Dados da OS'!$D$8="Selecione o tipo da contagem",ISBLANK('Dados da OS'!$D$8),B325="INM",B325="N/A",ISBLANK(B325),ISBLANK(C325),N325="VF"),"-",
   IF('Dados da OS'!$D$8=Parâmetros!$B$3,
      IF(OR(ISBLANK(D325),ISBLANK(F325)),"-",
         IF(L325="L","Baixa",IF(L325="A","Média",IF(L325="H","Alta","-")))),
      IF('Dados da OS'!$D$8=Parâmetros!$B$4,
         IF(OR(B325="ALI",B325="AIE"),"Baixa",IF(OR(B325="EE",B325="SE",B325="CE"),"Média","-")),
         IF(OR('Dados da OS'!$D$8=Parâmetros!$B$5,'Dados da OS'!$D$8=Parâmetros!$B$6),"-"))))</f>
        <v>-</v>
      </c>
      <c r="P325" s="59" t="str">
        <f xml:space="preserve">
IF(OR(ISBLANK(B325),ISBLANK(C325),B325="N/A",ISBLANK('Dados da OS'!$D$8)),"",
   IF(OR('Dados da OS'!$D$8=Parâmetros!$B$3,'Dados da OS'!$D$8=Parâmetros!$B$4),
      IF(OR(AND(B325="INM",N325&lt;&gt;"VF"),AND(N325="VF",B325&lt;&gt;"INM")),"",
        IF(AND(B325="INM",N325="VF"),IF(ISBLANK(H325),"",M325*H325),
        IF('Dados da OS'!$D$8=Parâmetros!$B$4,
           IF(OR(B325="CE",B325="EE"),4,IF(B325="SE",5,IF(B325="ALI",7,IF(B325="AIE",5,"")))),
        IF('Dados da OS'!$D$8=Parâmetros!$B$3,
           IF(OR(ISBLANK(D325),ISBLANK(F325)),"",
              IF(B325="ALI",IF(L325="L",7,IF(L325="A",10,15)),
                 IF(B325="AIE",IF(L325="L",5,IF(L325="A",7,10)),
                    IF(B325="SE",IF(L325="L",4,IF(L325="A",5,7)),
                       IF(OR(B325="EE",B325="CE"),IF(L325="L",3,IF(L325="A",4,6)),""))))))))),
   IF('Dados da OS'!$D$8=Parâmetros!$B$5,
      IF(OR(AND(B325="INM",N325&lt;&gt;"VF"),AND(N325="VF",B325&lt;&gt;"INM")),"",
         IF(B325="INM",IF(N325="VF",M325*H325,""),
            IF(B325="PE",4.6,
            IF(B325="AL",7,"")))),
   IF('Dados da OS'!$D$8=Parâmetros!$B$6,
      IF(B325="ALI",35,IF(B325="AIE",15,"")),""))
    )
)</f>
        <v/>
      </c>
      <c r="Q325" s="60" t="str">
        <f t="shared" ref="Q325:Q388" si="37">IF(P325="","",IF(B325="INM",P325,P325*M325))</f>
        <v/>
      </c>
      <c r="R325" s="61"/>
      <c r="S325" s="62"/>
      <c r="T325" s="80" t="s">
        <v>21</v>
      </c>
      <c r="U325" s="81"/>
      <c r="V325" s="99"/>
      <c r="W325" s="55"/>
      <c r="X325" s="55"/>
      <c r="Y325" s="56"/>
      <c r="Z325" s="55"/>
      <c r="AA325" s="56"/>
      <c r="AB325" s="55"/>
      <c r="AC325" s="57" t="str">
        <f t="shared" ref="AC325:AC388" si="38">CONCATENATE(V325,AE325)</f>
        <v/>
      </c>
      <c r="AD325" s="57" t="str">
        <f t="shared" ref="AD325:AD388" si="39">CONCATENATE(V325,W325,AE325,AJ325)</f>
        <v/>
      </c>
      <c r="AE325" s="57" t="str">
        <f xml:space="preserve">
IF(OR('Dados da OS'!$D$8=Parâmetros!$B$3,'Dados da OS'!$D$8=Parâmetros!$B$4),
  IF(OR(ISBLANK(X325),ISBLANK(Z325)),
     IF(OR(V325="ALI",V325="AIE"),"L",IF(ISBLANK(V325),"","A")),
     IF(V325="EE",IF(Z325&gt;=3,IF(X325&gt;=5,"H","A"),
     IF(Z325&gt;=2,IF(X325&gt;=16,"H",IF(X325&lt;=4,"L","A")),IF(X325&lt;=15,"L","A"))),
     IF(OR(V325="SE",V325="CE"),IF(Z325&gt;=4,IF(X325&gt;=6,"H","A"),IF(Z325&gt;=2,IF(X325&gt;=20,"H",IF(X325&lt;=5,"L","A")),IF(X325&lt;=19,"L","A"))),
     IF(OR(V325="ALI",V325="AIE"),IF(Z325&gt;=6,IF(X325&gt;=20,"H","A"),IF(Z325&gt;=2,IF(X325&gt;=51,"H",IF(X325&lt;=19,"L","A")),IF(X325&lt;=50,"L","A"))))))),
IF('Dados da OS'!$D$8=Parâmetros!$B$6,"Indicativa",
IF('Dados da OS'!$D$8=Parâmetros!$B$5,"PFS","")))</f>
        <v/>
      </c>
      <c r="AF325" s="57">
        <f>IFERROR(VLOOKUP(W325,'Fatores de Impacto e INMs'!$A$3:$D$32,3,0),1)</f>
        <v>1</v>
      </c>
      <c r="AG325" s="57">
        <f>IFERROR(VLOOKUP(W325,'Fatores de Impacto e INMs'!$A$3:$E$32,5,0),1)</f>
        <v>1</v>
      </c>
      <c r="AH325" s="82" t="str">
        <f xml:space="preserve">
IF(OR('Dados da OS'!$D$8="Selecione o tipo da contagem",ISBLANK('Dados da OS'!$D$8),V325="INM",V325="N/A",ISBLANK(V325),ISBLANK(W325),AG325="VF"),"-",
   IF('Dados da OS'!$D$8=Parâmetros!$B$3,
      IF(OR(ISBLANK(X325),ISBLANK(Z325)),"-",
         IF(AE325="L","Baixa",IF(AE325="A","Média",IF(AE325="H","Alta","-")))),
      IF('Dados da OS'!$D$8=Parâmetros!$B$4,
         IF(OR(V325="ALI",V325="AIE"),"Baixa",IF(OR(V325="EE",V325="SE",V325="CE"),"Média","-")),
         IF(OR('Dados da OS'!$D$8=Parâmetros!$B$5,'Dados da OS'!$D$8=Parâmetros!$B$6),"-"))))</f>
        <v>-</v>
      </c>
      <c r="AI325" s="83" t="str">
        <f xml:space="preserve">
IF(OR(ISBLANK(V325),ISBLANK(U325),ISBLANK(W325),V325="N/A",ISBLANK('Dados da OS'!$D$8)),"",
   IF(OR('Dados da OS'!$D$8=Parâmetros!$B$3,'Dados da OS'!$D$8=Parâmetros!$B$4),
      IF(OR(AND(V325="INM",AG325&lt;&gt;"VF"),AND(AG325="VF",V325&lt;&gt;"INM")),"",
        IF(AND(V325="INM",AG325="VF"),IF(ISBLANK(AB325),"",AF325*AB325),
        IF('Dados da OS'!$D$8=Parâmetros!$B$4,
           IF(OR(V325="CE",V325="EE"),4,IF(V325="SE",5,IF(V325="ALI",7,IF(V325="AIE",5,"")))),
        IF('Dados da OS'!$D$8=Parâmetros!$B$3,
           IF(OR(ISBLANK(X325),ISBLANK(Z325)),"",
              IF(V325="ALI",IF(AE325="L",7,IF(AE325="A",10,15)),
                 IF(V325="AIE",IF(AE325="L",5,IF(AE325="A",7,10)),
                    IF(V325="SE",IF(AE325="L",4,IF(AE325="A",5,7)),
                       IF(OR(V325="EE",V325="CE"),IF(AE325="L",3,IF(AE325="A",4,6)),""))))))))),
   IF('Dados da OS'!$D$8=Parâmetros!$B$5,
      IF(OR(AND(V325="INM",AG325&lt;&gt;"VF"),AND(AG325="VF",V325&lt;&gt;"INM")),"",
         IF(V325="INM",IF(AG325="VF",AF325*AB325,""),
            IF(V325="PE",4.6,
            IF(V325="AL",7,"")))),
   IF('Dados da OS'!$D$8=Parâmetros!$B$6,
      IF(V325="ALI",35,IF(V325="AIE",15,"")),""))
    )
)</f>
        <v/>
      </c>
      <c r="AJ325" s="82" t="str">
        <f t="shared" ref="AJ325:AJ388" si="40">IF(AI325="","",IF(V325="INM",AI325,AI325*AF325))</f>
        <v/>
      </c>
      <c r="AK325" s="84"/>
      <c r="AL325" s="85" t="s">
        <v>21</v>
      </c>
      <c r="AM325" s="86"/>
      <c r="AN325" s="85"/>
      <c r="AO325" s="87"/>
      <c r="AP325" s="85"/>
      <c r="AQ325" s="86"/>
      <c r="AR325" s="85"/>
    </row>
    <row r="326" spans="1:44" ht="15.75" customHeight="1">
      <c r="A326" s="54"/>
      <c r="B326" s="100"/>
      <c r="C326" s="55"/>
      <c r="D326" s="55"/>
      <c r="E326" s="56"/>
      <c r="F326" s="55"/>
      <c r="G326" s="56"/>
      <c r="H326" s="55"/>
      <c r="I326" s="64"/>
      <c r="J326" s="57" t="str">
        <f t="shared" si="35"/>
        <v/>
      </c>
      <c r="K326" s="57" t="str">
        <f t="shared" si="36"/>
        <v/>
      </c>
      <c r="L326" s="57" t="str">
        <f xml:space="preserve">
IF(OR('Dados da OS'!$D$8=Parâmetros!$B$3,'Dados da OS'!$D$8=Parâmetros!$B$4),
  IF(OR(ISBLANK(D326),ISBLANK(F326)),
     IF(OR(B326="ALI",B326="AIE"),"L",IF(ISBLANK(B326),"","A")),
     IF(B326="EE",IF(F326&gt;=3,IF(D326&gt;=5,"H","A"),
     IF(F326&gt;=2,IF(D326&gt;=16,"H",IF(D326&lt;=4,"L","A")),IF(D326&lt;=15,"L","A"))),
     IF(OR(B326="SE",B326="CE"),IF(F326&gt;=4,IF(D326&gt;=6,"H","A"),IF(F326&gt;=2,IF(D326&gt;=20,"H",IF(D326&lt;=5,"L","A")),IF(D326&lt;=19,"L","A"))),
     IF(OR(B326="ALI",B326="AIE"),IF(F326&gt;=6,IF(D326&gt;=20,"H","A"),IF(F326&gt;=2,IF(D326&gt;=51,"H",IF(D326&lt;=19,"L","A")),IF(D326&lt;=50,"L","A"))))))),
IF('Dados da OS'!$D$8=Parâmetros!$B$6,"Indicativa",
IF('Dados da OS'!$D$8=Parâmetros!$B$5,"PFS","")))</f>
        <v/>
      </c>
      <c r="M326" s="57">
        <f>IFERROR(VLOOKUP(C326,'Fatores de Impacto e INMs'!$A$3:$D$32,3,0),1)</f>
        <v>1</v>
      </c>
      <c r="N326" s="57">
        <f>IFERROR(VLOOKUP(C326,'Fatores de Impacto e INMs'!$A$3:$E$32,5,0),1)</f>
        <v>1</v>
      </c>
      <c r="O326" s="63" t="str">
        <f xml:space="preserve">
IF(OR('Dados da OS'!$D$8="Selecione o tipo da contagem",ISBLANK('Dados da OS'!$D$8),B326="INM",B326="N/A",ISBLANK(B326),ISBLANK(C326),N326="VF"),"-",
   IF('Dados da OS'!$D$8=Parâmetros!$B$3,
      IF(OR(ISBLANK(D326),ISBLANK(F326)),"-",
         IF(L326="L","Baixa",IF(L326="A","Média",IF(L326="H","Alta","-")))),
      IF('Dados da OS'!$D$8=Parâmetros!$B$4,
         IF(OR(B326="ALI",B326="AIE"),"Baixa",IF(OR(B326="EE",B326="SE",B326="CE"),"Média","-")),
         IF(OR('Dados da OS'!$D$8=Parâmetros!$B$5,'Dados da OS'!$D$8=Parâmetros!$B$6),"-"))))</f>
        <v>-</v>
      </c>
      <c r="P326" s="59" t="str">
        <f xml:space="preserve">
IF(OR(ISBLANK(B326),ISBLANK(C326),B326="N/A",ISBLANK('Dados da OS'!$D$8)),"",
   IF(OR('Dados da OS'!$D$8=Parâmetros!$B$3,'Dados da OS'!$D$8=Parâmetros!$B$4),
      IF(OR(AND(B326="INM",N326&lt;&gt;"VF"),AND(N326="VF",B326&lt;&gt;"INM")),"",
        IF(AND(B326="INM",N326="VF"),IF(ISBLANK(H326),"",M326*H326),
        IF('Dados da OS'!$D$8=Parâmetros!$B$4,
           IF(OR(B326="CE",B326="EE"),4,IF(B326="SE",5,IF(B326="ALI",7,IF(B326="AIE",5,"")))),
        IF('Dados da OS'!$D$8=Parâmetros!$B$3,
           IF(OR(ISBLANK(D326),ISBLANK(F326)),"",
              IF(B326="ALI",IF(L326="L",7,IF(L326="A",10,15)),
                 IF(B326="AIE",IF(L326="L",5,IF(L326="A",7,10)),
                    IF(B326="SE",IF(L326="L",4,IF(L326="A",5,7)),
                       IF(OR(B326="EE",B326="CE"),IF(L326="L",3,IF(L326="A",4,6)),""))))))))),
   IF('Dados da OS'!$D$8=Parâmetros!$B$5,
      IF(OR(AND(B326="INM",N326&lt;&gt;"VF"),AND(N326="VF",B326&lt;&gt;"INM")),"",
         IF(B326="INM",IF(N326="VF",M326*H326,""),
            IF(B326="PE",4.6,
            IF(B326="AL",7,"")))),
   IF('Dados da OS'!$D$8=Parâmetros!$B$6,
      IF(B326="ALI",35,IF(B326="AIE",15,"")),""))
    )
)</f>
        <v/>
      </c>
      <c r="Q326" s="60" t="str">
        <f t="shared" si="37"/>
        <v/>
      </c>
      <c r="R326" s="61"/>
      <c r="S326" s="62"/>
      <c r="T326" s="80" t="s">
        <v>21</v>
      </c>
      <c r="U326" s="81"/>
      <c r="V326" s="99"/>
      <c r="W326" s="55"/>
      <c r="X326" s="55"/>
      <c r="Y326" s="56"/>
      <c r="Z326" s="55"/>
      <c r="AA326" s="56"/>
      <c r="AB326" s="55"/>
      <c r="AC326" s="57" t="str">
        <f t="shared" si="38"/>
        <v/>
      </c>
      <c r="AD326" s="57" t="str">
        <f t="shared" si="39"/>
        <v/>
      </c>
      <c r="AE326" s="57" t="str">
        <f xml:space="preserve">
IF(OR('Dados da OS'!$D$8=Parâmetros!$B$3,'Dados da OS'!$D$8=Parâmetros!$B$4),
  IF(OR(ISBLANK(X326),ISBLANK(Z326)),
     IF(OR(V326="ALI",V326="AIE"),"L",IF(ISBLANK(V326),"","A")),
     IF(V326="EE",IF(Z326&gt;=3,IF(X326&gt;=5,"H","A"),
     IF(Z326&gt;=2,IF(X326&gt;=16,"H",IF(X326&lt;=4,"L","A")),IF(X326&lt;=15,"L","A"))),
     IF(OR(V326="SE",V326="CE"),IF(Z326&gt;=4,IF(X326&gt;=6,"H","A"),IF(Z326&gt;=2,IF(X326&gt;=20,"H",IF(X326&lt;=5,"L","A")),IF(X326&lt;=19,"L","A"))),
     IF(OR(V326="ALI",V326="AIE"),IF(Z326&gt;=6,IF(X326&gt;=20,"H","A"),IF(Z326&gt;=2,IF(X326&gt;=51,"H",IF(X326&lt;=19,"L","A")),IF(X326&lt;=50,"L","A"))))))),
IF('Dados da OS'!$D$8=Parâmetros!$B$6,"Indicativa",
IF('Dados da OS'!$D$8=Parâmetros!$B$5,"PFS","")))</f>
        <v/>
      </c>
      <c r="AF326" s="57">
        <f>IFERROR(VLOOKUP(W326,'Fatores de Impacto e INMs'!$A$3:$D$32,3,0),1)</f>
        <v>1</v>
      </c>
      <c r="AG326" s="57">
        <f>IFERROR(VLOOKUP(W326,'Fatores de Impacto e INMs'!$A$3:$E$32,5,0),1)</f>
        <v>1</v>
      </c>
      <c r="AH326" s="82" t="str">
        <f xml:space="preserve">
IF(OR('Dados da OS'!$D$8="Selecione o tipo da contagem",ISBLANK('Dados da OS'!$D$8),V326="INM",V326="N/A",ISBLANK(V326),ISBLANK(W326),AG326="VF"),"-",
   IF('Dados da OS'!$D$8=Parâmetros!$B$3,
      IF(OR(ISBLANK(X326),ISBLANK(Z326)),"-",
         IF(AE326="L","Baixa",IF(AE326="A","Média",IF(AE326="H","Alta","-")))),
      IF('Dados da OS'!$D$8=Parâmetros!$B$4,
         IF(OR(V326="ALI",V326="AIE"),"Baixa",IF(OR(V326="EE",V326="SE",V326="CE"),"Média","-")),
         IF(OR('Dados da OS'!$D$8=Parâmetros!$B$5,'Dados da OS'!$D$8=Parâmetros!$B$6),"-"))))</f>
        <v>-</v>
      </c>
      <c r="AI326" s="83" t="str">
        <f xml:space="preserve">
IF(OR(ISBLANK(V326),ISBLANK(U326),ISBLANK(W326),V326="N/A",ISBLANK('Dados da OS'!$D$8)),"",
   IF(OR('Dados da OS'!$D$8=Parâmetros!$B$3,'Dados da OS'!$D$8=Parâmetros!$B$4),
      IF(OR(AND(V326="INM",AG326&lt;&gt;"VF"),AND(AG326="VF",V326&lt;&gt;"INM")),"",
        IF(AND(V326="INM",AG326="VF"),IF(ISBLANK(AB326),"",AF326*AB326),
        IF('Dados da OS'!$D$8=Parâmetros!$B$4,
           IF(OR(V326="CE",V326="EE"),4,IF(V326="SE",5,IF(V326="ALI",7,IF(V326="AIE",5,"")))),
        IF('Dados da OS'!$D$8=Parâmetros!$B$3,
           IF(OR(ISBLANK(X326),ISBLANK(Z326)),"",
              IF(V326="ALI",IF(AE326="L",7,IF(AE326="A",10,15)),
                 IF(V326="AIE",IF(AE326="L",5,IF(AE326="A",7,10)),
                    IF(V326="SE",IF(AE326="L",4,IF(AE326="A",5,7)),
                       IF(OR(V326="EE",V326="CE"),IF(AE326="L",3,IF(AE326="A",4,6)),""))))))))),
   IF('Dados da OS'!$D$8=Parâmetros!$B$5,
      IF(OR(AND(V326="INM",AG326&lt;&gt;"VF"),AND(AG326="VF",V326&lt;&gt;"INM")),"",
         IF(V326="INM",IF(AG326="VF",AF326*AB326,""),
            IF(V326="PE",4.6,
            IF(V326="AL",7,"")))),
   IF('Dados da OS'!$D$8=Parâmetros!$B$6,
      IF(V326="ALI",35,IF(V326="AIE",15,"")),""))
    )
)</f>
        <v/>
      </c>
      <c r="AJ326" s="82" t="str">
        <f t="shared" si="40"/>
        <v/>
      </c>
      <c r="AK326" s="84"/>
      <c r="AL326" s="85" t="s">
        <v>21</v>
      </c>
      <c r="AM326" s="86"/>
      <c r="AN326" s="85"/>
      <c r="AO326" s="87"/>
      <c r="AP326" s="85"/>
      <c r="AQ326" s="86"/>
      <c r="AR326" s="85"/>
    </row>
    <row r="327" spans="1:44" ht="15.75" customHeight="1">
      <c r="A327" s="54"/>
      <c r="B327" s="100"/>
      <c r="C327" s="55"/>
      <c r="D327" s="55"/>
      <c r="E327" s="56"/>
      <c r="F327" s="55"/>
      <c r="G327" s="56"/>
      <c r="H327" s="55"/>
      <c r="I327" s="64"/>
      <c r="J327" s="57" t="str">
        <f t="shared" si="35"/>
        <v/>
      </c>
      <c r="K327" s="57" t="str">
        <f t="shared" si="36"/>
        <v/>
      </c>
      <c r="L327" s="57" t="str">
        <f xml:space="preserve">
IF(OR('Dados da OS'!$D$8=Parâmetros!$B$3,'Dados da OS'!$D$8=Parâmetros!$B$4),
  IF(OR(ISBLANK(D327),ISBLANK(F327)),
     IF(OR(B327="ALI",B327="AIE"),"L",IF(ISBLANK(B327),"","A")),
     IF(B327="EE",IF(F327&gt;=3,IF(D327&gt;=5,"H","A"),
     IF(F327&gt;=2,IF(D327&gt;=16,"H",IF(D327&lt;=4,"L","A")),IF(D327&lt;=15,"L","A"))),
     IF(OR(B327="SE",B327="CE"),IF(F327&gt;=4,IF(D327&gt;=6,"H","A"),IF(F327&gt;=2,IF(D327&gt;=20,"H",IF(D327&lt;=5,"L","A")),IF(D327&lt;=19,"L","A"))),
     IF(OR(B327="ALI",B327="AIE"),IF(F327&gt;=6,IF(D327&gt;=20,"H","A"),IF(F327&gt;=2,IF(D327&gt;=51,"H",IF(D327&lt;=19,"L","A")),IF(D327&lt;=50,"L","A"))))))),
IF('Dados da OS'!$D$8=Parâmetros!$B$6,"Indicativa",
IF('Dados da OS'!$D$8=Parâmetros!$B$5,"PFS","")))</f>
        <v/>
      </c>
      <c r="M327" s="57">
        <f>IFERROR(VLOOKUP(C327,'Fatores de Impacto e INMs'!$A$3:$D$32,3,0),1)</f>
        <v>1</v>
      </c>
      <c r="N327" s="57">
        <f>IFERROR(VLOOKUP(C327,'Fatores de Impacto e INMs'!$A$3:$E$32,5,0),1)</f>
        <v>1</v>
      </c>
      <c r="O327" s="63" t="str">
        <f xml:space="preserve">
IF(OR('Dados da OS'!$D$8="Selecione o tipo da contagem",ISBLANK('Dados da OS'!$D$8),B327="INM",B327="N/A",ISBLANK(B327),ISBLANK(C327),N327="VF"),"-",
   IF('Dados da OS'!$D$8=Parâmetros!$B$3,
      IF(OR(ISBLANK(D327),ISBLANK(F327)),"-",
         IF(L327="L","Baixa",IF(L327="A","Média",IF(L327="H","Alta","-")))),
      IF('Dados da OS'!$D$8=Parâmetros!$B$4,
         IF(OR(B327="ALI",B327="AIE"),"Baixa",IF(OR(B327="EE",B327="SE",B327="CE"),"Média","-")),
         IF(OR('Dados da OS'!$D$8=Parâmetros!$B$5,'Dados da OS'!$D$8=Parâmetros!$B$6),"-"))))</f>
        <v>-</v>
      </c>
      <c r="P327" s="59" t="str">
        <f xml:space="preserve">
IF(OR(ISBLANK(B327),ISBLANK(C327),B327="N/A",ISBLANK('Dados da OS'!$D$8)),"",
   IF(OR('Dados da OS'!$D$8=Parâmetros!$B$3,'Dados da OS'!$D$8=Parâmetros!$B$4),
      IF(OR(AND(B327="INM",N327&lt;&gt;"VF"),AND(N327="VF",B327&lt;&gt;"INM")),"",
        IF(AND(B327="INM",N327="VF"),IF(ISBLANK(H327),"",M327*H327),
        IF('Dados da OS'!$D$8=Parâmetros!$B$4,
           IF(OR(B327="CE",B327="EE"),4,IF(B327="SE",5,IF(B327="ALI",7,IF(B327="AIE",5,"")))),
        IF('Dados da OS'!$D$8=Parâmetros!$B$3,
           IF(OR(ISBLANK(D327),ISBLANK(F327)),"",
              IF(B327="ALI",IF(L327="L",7,IF(L327="A",10,15)),
                 IF(B327="AIE",IF(L327="L",5,IF(L327="A",7,10)),
                    IF(B327="SE",IF(L327="L",4,IF(L327="A",5,7)),
                       IF(OR(B327="EE",B327="CE"),IF(L327="L",3,IF(L327="A",4,6)),""))))))))),
   IF('Dados da OS'!$D$8=Parâmetros!$B$5,
      IF(OR(AND(B327="INM",N327&lt;&gt;"VF"),AND(N327="VF",B327&lt;&gt;"INM")),"",
         IF(B327="INM",IF(N327="VF",M327*H327,""),
            IF(B327="PE",4.6,
            IF(B327="AL",7,"")))),
   IF('Dados da OS'!$D$8=Parâmetros!$B$6,
      IF(B327="ALI",35,IF(B327="AIE",15,"")),""))
    )
)</f>
        <v/>
      </c>
      <c r="Q327" s="60" t="str">
        <f t="shared" si="37"/>
        <v/>
      </c>
      <c r="R327" s="61"/>
      <c r="S327" s="62"/>
      <c r="T327" s="80" t="s">
        <v>21</v>
      </c>
      <c r="U327" s="81"/>
      <c r="V327" s="99"/>
      <c r="W327" s="55"/>
      <c r="X327" s="55"/>
      <c r="Y327" s="56"/>
      <c r="Z327" s="55"/>
      <c r="AA327" s="56"/>
      <c r="AB327" s="55"/>
      <c r="AC327" s="57" t="str">
        <f t="shared" si="38"/>
        <v/>
      </c>
      <c r="AD327" s="57" t="str">
        <f t="shared" si="39"/>
        <v/>
      </c>
      <c r="AE327" s="57" t="str">
        <f xml:space="preserve">
IF(OR('Dados da OS'!$D$8=Parâmetros!$B$3,'Dados da OS'!$D$8=Parâmetros!$B$4),
  IF(OR(ISBLANK(X327),ISBLANK(Z327)),
     IF(OR(V327="ALI",V327="AIE"),"L",IF(ISBLANK(V327),"","A")),
     IF(V327="EE",IF(Z327&gt;=3,IF(X327&gt;=5,"H","A"),
     IF(Z327&gt;=2,IF(X327&gt;=16,"H",IF(X327&lt;=4,"L","A")),IF(X327&lt;=15,"L","A"))),
     IF(OR(V327="SE",V327="CE"),IF(Z327&gt;=4,IF(X327&gt;=6,"H","A"),IF(Z327&gt;=2,IF(X327&gt;=20,"H",IF(X327&lt;=5,"L","A")),IF(X327&lt;=19,"L","A"))),
     IF(OR(V327="ALI",V327="AIE"),IF(Z327&gt;=6,IF(X327&gt;=20,"H","A"),IF(Z327&gt;=2,IF(X327&gt;=51,"H",IF(X327&lt;=19,"L","A")),IF(X327&lt;=50,"L","A"))))))),
IF('Dados da OS'!$D$8=Parâmetros!$B$6,"Indicativa",
IF('Dados da OS'!$D$8=Parâmetros!$B$5,"PFS","")))</f>
        <v/>
      </c>
      <c r="AF327" s="57">
        <f>IFERROR(VLOOKUP(W327,'Fatores de Impacto e INMs'!$A$3:$D$32,3,0),1)</f>
        <v>1</v>
      </c>
      <c r="AG327" s="57">
        <f>IFERROR(VLOOKUP(W327,'Fatores de Impacto e INMs'!$A$3:$E$32,5,0),1)</f>
        <v>1</v>
      </c>
      <c r="AH327" s="82" t="str">
        <f xml:space="preserve">
IF(OR('Dados da OS'!$D$8="Selecione o tipo da contagem",ISBLANK('Dados da OS'!$D$8),V327="INM",V327="N/A",ISBLANK(V327),ISBLANK(W327),AG327="VF"),"-",
   IF('Dados da OS'!$D$8=Parâmetros!$B$3,
      IF(OR(ISBLANK(X327),ISBLANK(Z327)),"-",
         IF(AE327="L","Baixa",IF(AE327="A","Média",IF(AE327="H","Alta","-")))),
      IF('Dados da OS'!$D$8=Parâmetros!$B$4,
         IF(OR(V327="ALI",V327="AIE"),"Baixa",IF(OR(V327="EE",V327="SE",V327="CE"),"Média","-")),
         IF(OR('Dados da OS'!$D$8=Parâmetros!$B$5,'Dados da OS'!$D$8=Parâmetros!$B$6),"-"))))</f>
        <v>-</v>
      </c>
      <c r="AI327" s="83" t="str">
        <f xml:space="preserve">
IF(OR(ISBLANK(V327),ISBLANK(U327),ISBLANK(W327),V327="N/A",ISBLANK('Dados da OS'!$D$8)),"",
   IF(OR('Dados da OS'!$D$8=Parâmetros!$B$3,'Dados da OS'!$D$8=Parâmetros!$B$4),
      IF(OR(AND(V327="INM",AG327&lt;&gt;"VF"),AND(AG327="VF",V327&lt;&gt;"INM")),"",
        IF(AND(V327="INM",AG327="VF"),IF(ISBLANK(AB327),"",AF327*AB327),
        IF('Dados da OS'!$D$8=Parâmetros!$B$4,
           IF(OR(V327="CE",V327="EE"),4,IF(V327="SE",5,IF(V327="ALI",7,IF(V327="AIE",5,"")))),
        IF('Dados da OS'!$D$8=Parâmetros!$B$3,
           IF(OR(ISBLANK(X327),ISBLANK(Z327)),"",
              IF(V327="ALI",IF(AE327="L",7,IF(AE327="A",10,15)),
                 IF(V327="AIE",IF(AE327="L",5,IF(AE327="A",7,10)),
                    IF(V327="SE",IF(AE327="L",4,IF(AE327="A",5,7)),
                       IF(OR(V327="EE",V327="CE"),IF(AE327="L",3,IF(AE327="A",4,6)),""))))))))),
   IF('Dados da OS'!$D$8=Parâmetros!$B$5,
      IF(OR(AND(V327="INM",AG327&lt;&gt;"VF"),AND(AG327="VF",V327&lt;&gt;"INM")),"",
         IF(V327="INM",IF(AG327="VF",AF327*AB327,""),
            IF(V327="PE",4.6,
            IF(V327="AL",7,"")))),
   IF('Dados da OS'!$D$8=Parâmetros!$B$6,
      IF(V327="ALI",35,IF(V327="AIE",15,"")),""))
    )
)</f>
        <v/>
      </c>
      <c r="AJ327" s="82" t="str">
        <f t="shared" si="40"/>
        <v/>
      </c>
      <c r="AK327" s="84"/>
      <c r="AL327" s="85" t="s">
        <v>21</v>
      </c>
      <c r="AM327" s="86"/>
      <c r="AN327" s="85"/>
      <c r="AO327" s="87"/>
      <c r="AP327" s="85"/>
      <c r="AQ327" s="86"/>
      <c r="AR327" s="85"/>
    </row>
    <row r="328" spans="1:44" ht="15.75" customHeight="1">
      <c r="A328" s="54"/>
      <c r="B328" s="100"/>
      <c r="C328" s="55"/>
      <c r="D328" s="55"/>
      <c r="E328" s="56"/>
      <c r="F328" s="55"/>
      <c r="G328" s="56"/>
      <c r="H328" s="55"/>
      <c r="I328" s="64"/>
      <c r="J328" s="57" t="str">
        <f t="shared" si="35"/>
        <v/>
      </c>
      <c r="K328" s="57" t="str">
        <f t="shared" si="36"/>
        <v/>
      </c>
      <c r="L328" s="57" t="str">
        <f xml:space="preserve">
IF(OR('Dados da OS'!$D$8=Parâmetros!$B$3,'Dados da OS'!$D$8=Parâmetros!$B$4),
  IF(OR(ISBLANK(D328),ISBLANK(F328)),
     IF(OR(B328="ALI",B328="AIE"),"L",IF(ISBLANK(B328),"","A")),
     IF(B328="EE",IF(F328&gt;=3,IF(D328&gt;=5,"H","A"),
     IF(F328&gt;=2,IF(D328&gt;=16,"H",IF(D328&lt;=4,"L","A")),IF(D328&lt;=15,"L","A"))),
     IF(OR(B328="SE",B328="CE"),IF(F328&gt;=4,IF(D328&gt;=6,"H","A"),IF(F328&gt;=2,IF(D328&gt;=20,"H",IF(D328&lt;=5,"L","A")),IF(D328&lt;=19,"L","A"))),
     IF(OR(B328="ALI",B328="AIE"),IF(F328&gt;=6,IF(D328&gt;=20,"H","A"),IF(F328&gt;=2,IF(D328&gt;=51,"H",IF(D328&lt;=19,"L","A")),IF(D328&lt;=50,"L","A"))))))),
IF('Dados da OS'!$D$8=Parâmetros!$B$6,"Indicativa",
IF('Dados da OS'!$D$8=Parâmetros!$B$5,"PFS","")))</f>
        <v/>
      </c>
      <c r="M328" s="57">
        <f>IFERROR(VLOOKUP(C328,'Fatores de Impacto e INMs'!$A$3:$D$32,3,0),1)</f>
        <v>1</v>
      </c>
      <c r="N328" s="57">
        <f>IFERROR(VLOOKUP(C328,'Fatores de Impacto e INMs'!$A$3:$E$32,5,0),1)</f>
        <v>1</v>
      </c>
      <c r="O328" s="63" t="str">
        <f xml:space="preserve">
IF(OR('Dados da OS'!$D$8="Selecione o tipo da contagem",ISBLANK('Dados da OS'!$D$8),B328="INM",B328="N/A",ISBLANK(B328),ISBLANK(C328),N328="VF"),"-",
   IF('Dados da OS'!$D$8=Parâmetros!$B$3,
      IF(OR(ISBLANK(D328),ISBLANK(F328)),"-",
         IF(L328="L","Baixa",IF(L328="A","Média",IF(L328="H","Alta","-")))),
      IF('Dados da OS'!$D$8=Parâmetros!$B$4,
         IF(OR(B328="ALI",B328="AIE"),"Baixa",IF(OR(B328="EE",B328="SE",B328="CE"),"Média","-")),
         IF(OR('Dados da OS'!$D$8=Parâmetros!$B$5,'Dados da OS'!$D$8=Parâmetros!$B$6),"-"))))</f>
        <v>-</v>
      </c>
      <c r="P328" s="59" t="str">
        <f xml:space="preserve">
IF(OR(ISBLANK(B328),ISBLANK(C328),B328="N/A",ISBLANK('Dados da OS'!$D$8)),"",
   IF(OR('Dados da OS'!$D$8=Parâmetros!$B$3,'Dados da OS'!$D$8=Parâmetros!$B$4),
      IF(OR(AND(B328="INM",N328&lt;&gt;"VF"),AND(N328="VF",B328&lt;&gt;"INM")),"",
        IF(AND(B328="INM",N328="VF"),IF(ISBLANK(H328),"",M328*H328),
        IF('Dados da OS'!$D$8=Parâmetros!$B$4,
           IF(OR(B328="CE",B328="EE"),4,IF(B328="SE",5,IF(B328="ALI",7,IF(B328="AIE",5,"")))),
        IF('Dados da OS'!$D$8=Parâmetros!$B$3,
           IF(OR(ISBLANK(D328),ISBLANK(F328)),"",
              IF(B328="ALI",IF(L328="L",7,IF(L328="A",10,15)),
                 IF(B328="AIE",IF(L328="L",5,IF(L328="A",7,10)),
                    IF(B328="SE",IF(L328="L",4,IF(L328="A",5,7)),
                       IF(OR(B328="EE",B328="CE"),IF(L328="L",3,IF(L328="A",4,6)),""))))))))),
   IF('Dados da OS'!$D$8=Parâmetros!$B$5,
      IF(OR(AND(B328="INM",N328&lt;&gt;"VF"),AND(N328="VF",B328&lt;&gt;"INM")),"",
         IF(B328="INM",IF(N328="VF",M328*H328,""),
            IF(B328="PE",4.6,
            IF(B328="AL",7,"")))),
   IF('Dados da OS'!$D$8=Parâmetros!$B$6,
      IF(B328="ALI",35,IF(B328="AIE",15,"")),""))
    )
)</f>
        <v/>
      </c>
      <c r="Q328" s="60" t="str">
        <f t="shared" si="37"/>
        <v/>
      </c>
      <c r="R328" s="61"/>
      <c r="S328" s="62"/>
      <c r="T328" s="80" t="s">
        <v>21</v>
      </c>
      <c r="U328" s="81"/>
      <c r="V328" s="99"/>
      <c r="W328" s="55"/>
      <c r="X328" s="55"/>
      <c r="Y328" s="56"/>
      <c r="Z328" s="55"/>
      <c r="AA328" s="56"/>
      <c r="AB328" s="55"/>
      <c r="AC328" s="57" t="str">
        <f t="shared" si="38"/>
        <v/>
      </c>
      <c r="AD328" s="57" t="str">
        <f t="shared" si="39"/>
        <v/>
      </c>
      <c r="AE328" s="57" t="str">
        <f xml:space="preserve">
IF(OR('Dados da OS'!$D$8=Parâmetros!$B$3,'Dados da OS'!$D$8=Parâmetros!$B$4),
  IF(OR(ISBLANK(X328),ISBLANK(Z328)),
     IF(OR(V328="ALI",V328="AIE"),"L",IF(ISBLANK(V328),"","A")),
     IF(V328="EE",IF(Z328&gt;=3,IF(X328&gt;=5,"H","A"),
     IF(Z328&gt;=2,IF(X328&gt;=16,"H",IF(X328&lt;=4,"L","A")),IF(X328&lt;=15,"L","A"))),
     IF(OR(V328="SE",V328="CE"),IF(Z328&gt;=4,IF(X328&gt;=6,"H","A"),IF(Z328&gt;=2,IF(X328&gt;=20,"H",IF(X328&lt;=5,"L","A")),IF(X328&lt;=19,"L","A"))),
     IF(OR(V328="ALI",V328="AIE"),IF(Z328&gt;=6,IF(X328&gt;=20,"H","A"),IF(Z328&gt;=2,IF(X328&gt;=51,"H",IF(X328&lt;=19,"L","A")),IF(X328&lt;=50,"L","A"))))))),
IF('Dados da OS'!$D$8=Parâmetros!$B$6,"Indicativa",
IF('Dados da OS'!$D$8=Parâmetros!$B$5,"PFS","")))</f>
        <v/>
      </c>
      <c r="AF328" s="57">
        <f>IFERROR(VLOOKUP(W328,'Fatores de Impacto e INMs'!$A$3:$D$32,3,0),1)</f>
        <v>1</v>
      </c>
      <c r="AG328" s="57">
        <f>IFERROR(VLOOKUP(W328,'Fatores de Impacto e INMs'!$A$3:$E$32,5,0),1)</f>
        <v>1</v>
      </c>
      <c r="AH328" s="82" t="str">
        <f xml:space="preserve">
IF(OR('Dados da OS'!$D$8="Selecione o tipo da contagem",ISBLANK('Dados da OS'!$D$8),V328="INM",V328="N/A",ISBLANK(V328),ISBLANK(W328),AG328="VF"),"-",
   IF('Dados da OS'!$D$8=Parâmetros!$B$3,
      IF(OR(ISBLANK(X328),ISBLANK(Z328)),"-",
         IF(AE328="L","Baixa",IF(AE328="A","Média",IF(AE328="H","Alta","-")))),
      IF('Dados da OS'!$D$8=Parâmetros!$B$4,
         IF(OR(V328="ALI",V328="AIE"),"Baixa",IF(OR(V328="EE",V328="SE",V328="CE"),"Média","-")),
         IF(OR('Dados da OS'!$D$8=Parâmetros!$B$5,'Dados da OS'!$D$8=Parâmetros!$B$6),"-"))))</f>
        <v>-</v>
      </c>
      <c r="AI328" s="83" t="str">
        <f xml:space="preserve">
IF(OR(ISBLANK(V328),ISBLANK(U328),ISBLANK(W328),V328="N/A",ISBLANK('Dados da OS'!$D$8)),"",
   IF(OR('Dados da OS'!$D$8=Parâmetros!$B$3,'Dados da OS'!$D$8=Parâmetros!$B$4),
      IF(OR(AND(V328="INM",AG328&lt;&gt;"VF"),AND(AG328="VF",V328&lt;&gt;"INM")),"",
        IF(AND(V328="INM",AG328="VF"),IF(ISBLANK(AB328),"",AF328*AB328),
        IF('Dados da OS'!$D$8=Parâmetros!$B$4,
           IF(OR(V328="CE",V328="EE"),4,IF(V328="SE",5,IF(V328="ALI",7,IF(V328="AIE",5,"")))),
        IF('Dados da OS'!$D$8=Parâmetros!$B$3,
           IF(OR(ISBLANK(X328),ISBLANK(Z328)),"",
              IF(V328="ALI",IF(AE328="L",7,IF(AE328="A",10,15)),
                 IF(V328="AIE",IF(AE328="L",5,IF(AE328="A",7,10)),
                    IF(V328="SE",IF(AE328="L",4,IF(AE328="A",5,7)),
                       IF(OR(V328="EE",V328="CE"),IF(AE328="L",3,IF(AE328="A",4,6)),""))))))))),
   IF('Dados da OS'!$D$8=Parâmetros!$B$5,
      IF(OR(AND(V328="INM",AG328&lt;&gt;"VF"),AND(AG328="VF",V328&lt;&gt;"INM")),"",
         IF(V328="INM",IF(AG328="VF",AF328*AB328,""),
            IF(V328="PE",4.6,
            IF(V328="AL",7,"")))),
   IF('Dados da OS'!$D$8=Parâmetros!$B$6,
      IF(V328="ALI",35,IF(V328="AIE",15,"")),""))
    )
)</f>
        <v/>
      </c>
      <c r="AJ328" s="82" t="str">
        <f t="shared" si="40"/>
        <v/>
      </c>
      <c r="AK328" s="84"/>
      <c r="AL328" s="85" t="s">
        <v>21</v>
      </c>
      <c r="AM328" s="86"/>
      <c r="AN328" s="85"/>
      <c r="AO328" s="87"/>
      <c r="AP328" s="85"/>
      <c r="AQ328" s="86"/>
      <c r="AR328" s="85"/>
    </row>
    <row r="329" spans="1:44" ht="15.75" customHeight="1">
      <c r="A329" s="54"/>
      <c r="B329" s="100"/>
      <c r="C329" s="55"/>
      <c r="D329" s="55"/>
      <c r="E329" s="56"/>
      <c r="F329" s="55"/>
      <c r="G329" s="56"/>
      <c r="H329" s="55"/>
      <c r="I329" s="64"/>
      <c r="J329" s="57" t="str">
        <f t="shared" si="35"/>
        <v/>
      </c>
      <c r="K329" s="57" t="str">
        <f t="shared" si="36"/>
        <v/>
      </c>
      <c r="L329" s="57" t="str">
        <f xml:space="preserve">
IF(OR('Dados da OS'!$D$8=Parâmetros!$B$3,'Dados da OS'!$D$8=Parâmetros!$B$4),
  IF(OR(ISBLANK(D329),ISBLANK(F329)),
     IF(OR(B329="ALI",B329="AIE"),"L",IF(ISBLANK(B329),"","A")),
     IF(B329="EE",IF(F329&gt;=3,IF(D329&gt;=5,"H","A"),
     IF(F329&gt;=2,IF(D329&gt;=16,"H",IF(D329&lt;=4,"L","A")),IF(D329&lt;=15,"L","A"))),
     IF(OR(B329="SE",B329="CE"),IF(F329&gt;=4,IF(D329&gt;=6,"H","A"),IF(F329&gt;=2,IF(D329&gt;=20,"H",IF(D329&lt;=5,"L","A")),IF(D329&lt;=19,"L","A"))),
     IF(OR(B329="ALI",B329="AIE"),IF(F329&gt;=6,IF(D329&gt;=20,"H","A"),IF(F329&gt;=2,IF(D329&gt;=51,"H",IF(D329&lt;=19,"L","A")),IF(D329&lt;=50,"L","A"))))))),
IF('Dados da OS'!$D$8=Parâmetros!$B$6,"Indicativa",
IF('Dados da OS'!$D$8=Parâmetros!$B$5,"PFS","")))</f>
        <v/>
      </c>
      <c r="M329" s="57">
        <f>IFERROR(VLOOKUP(C329,'Fatores de Impacto e INMs'!$A$3:$D$32,3,0),1)</f>
        <v>1</v>
      </c>
      <c r="N329" s="57">
        <f>IFERROR(VLOOKUP(C329,'Fatores de Impacto e INMs'!$A$3:$E$32,5,0),1)</f>
        <v>1</v>
      </c>
      <c r="O329" s="63" t="str">
        <f xml:space="preserve">
IF(OR('Dados da OS'!$D$8="Selecione o tipo da contagem",ISBLANK('Dados da OS'!$D$8),B329="INM",B329="N/A",ISBLANK(B329),ISBLANK(C329),N329="VF"),"-",
   IF('Dados da OS'!$D$8=Parâmetros!$B$3,
      IF(OR(ISBLANK(D329),ISBLANK(F329)),"-",
         IF(L329="L","Baixa",IF(L329="A","Média",IF(L329="H","Alta","-")))),
      IF('Dados da OS'!$D$8=Parâmetros!$B$4,
         IF(OR(B329="ALI",B329="AIE"),"Baixa",IF(OR(B329="EE",B329="SE",B329="CE"),"Média","-")),
         IF(OR('Dados da OS'!$D$8=Parâmetros!$B$5,'Dados da OS'!$D$8=Parâmetros!$B$6),"-"))))</f>
        <v>-</v>
      </c>
      <c r="P329" s="59" t="str">
        <f xml:space="preserve">
IF(OR(ISBLANK(B329),ISBLANK(C329),B329="N/A",ISBLANK('Dados da OS'!$D$8)),"",
   IF(OR('Dados da OS'!$D$8=Parâmetros!$B$3,'Dados da OS'!$D$8=Parâmetros!$B$4),
      IF(OR(AND(B329="INM",N329&lt;&gt;"VF"),AND(N329="VF",B329&lt;&gt;"INM")),"",
        IF(AND(B329="INM",N329="VF"),IF(ISBLANK(H329),"",M329*H329),
        IF('Dados da OS'!$D$8=Parâmetros!$B$4,
           IF(OR(B329="CE",B329="EE"),4,IF(B329="SE",5,IF(B329="ALI",7,IF(B329="AIE",5,"")))),
        IF('Dados da OS'!$D$8=Parâmetros!$B$3,
           IF(OR(ISBLANK(D329),ISBLANK(F329)),"",
              IF(B329="ALI",IF(L329="L",7,IF(L329="A",10,15)),
                 IF(B329="AIE",IF(L329="L",5,IF(L329="A",7,10)),
                    IF(B329="SE",IF(L329="L",4,IF(L329="A",5,7)),
                       IF(OR(B329="EE",B329="CE"),IF(L329="L",3,IF(L329="A",4,6)),""))))))))),
   IF('Dados da OS'!$D$8=Parâmetros!$B$5,
      IF(OR(AND(B329="INM",N329&lt;&gt;"VF"),AND(N329="VF",B329&lt;&gt;"INM")),"",
         IF(B329="INM",IF(N329="VF",M329*H329,""),
            IF(B329="PE",4.6,
            IF(B329="AL",7,"")))),
   IF('Dados da OS'!$D$8=Parâmetros!$B$6,
      IF(B329="ALI",35,IF(B329="AIE",15,"")),""))
    )
)</f>
        <v/>
      </c>
      <c r="Q329" s="60" t="str">
        <f t="shared" si="37"/>
        <v/>
      </c>
      <c r="R329" s="61"/>
      <c r="S329" s="62"/>
      <c r="T329" s="80" t="s">
        <v>21</v>
      </c>
      <c r="U329" s="81"/>
      <c r="V329" s="99"/>
      <c r="W329" s="55"/>
      <c r="X329" s="55"/>
      <c r="Y329" s="56"/>
      <c r="Z329" s="55"/>
      <c r="AA329" s="56"/>
      <c r="AB329" s="55"/>
      <c r="AC329" s="57" t="str">
        <f t="shared" si="38"/>
        <v/>
      </c>
      <c r="AD329" s="57" t="str">
        <f t="shared" si="39"/>
        <v/>
      </c>
      <c r="AE329" s="57" t="str">
        <f xml:space="preserve">
IF(OR('Dados da OS'!$D$8=Parâmetros!$B$3,'Dados da OS'!$D$8=Parâmetros!$B$4),
  IF(OR(ISBLANK(X329),ISBLANK(Z329)),
     IF(OR(V329="ALI",V329="AIE"),"L",IF(ISBLANK(V329),"","A")),
     IF(V329="EE",IF(Z329&gt;=3,IF(X329&gt;=5,"H","A"),
     IF(Z329&gt;=2,IF(X329&gt;=16,"H",IF(X329&lt;=4,"L","A")),IF(X329&lt;=15,"L","A"))),
     IF(OR(V329="SE",V329="CE"),IF(Z329&gt;=4,IF(X329&gt;=6,"H","A"),IF(Z329&gt;=2,IF(X329&gt;=20,"H",IF(X329&lt;=5,"L","A")),IF(X329&lt;=19,"L","A"))),
     IF(OR(V329="ALI",V329="AIE"),IF(Z329&gt;=6,IF(X329&gt;=20,"H","A"),IF(Z329&gt;=2,IF(X329&gt;=51,"H",IF(X329&lt;=19,"L","A")),IF(X329&lt;=50,"L","A"))))))),
IF('Dados da OS'!$D$8=Parâmetros!$B$6,"Indicativa",
IF('Dados da OS'!$D$8=Parâmetros!$B$5,"PFS","")))</f>
        <v/>
      </c>
      <c r="AF329" s="57">
        <f>IFERROR(VLOOKUP(W329,'Fatores de Impacto e INMs'!$A$3:$D$32,3,0),1)</f>
        <v>1</v>
      </c>
      <c r="AG329" s="57">
        <f>IFERROR(VLOOKUP(W329,'Fatores de Impacto e INMs'!$A$3:$E$32,5,0),1)</f>
        <v>1</v>
      </c>
      <c r="AH329" s="82" t="str">
        <f xml:space="preserve">
IF(OR('Dados da OS'!$D$8="Selecione o tipo da contagem",ISBLANK('Dados da OS'!$D$8),V329="INM",V329="N/A",ISBLANK(V329),ISBLANK(W329),AG329="VF"),"-",
   IF('Dados da OS'!$D$8=Parâmetros!$B$3,
      IF(OR(ISBLANK(X329),ISBLANK(Z329)),"-",
         IF(AE329="L","Baixa",IF(AE329="A","Média",IF(AE329="H","Alta","-")))),
      IF('Dados da OS'!$D$8=Parâmetros!$B$4,
         IF(OR(V329="ALI",V329="AIE"),"Baixa",IF(OR(V329="EE",V329="SE",V329="CE"),"Média","-")),
         IF(OR('Dados da OS'!$D$8=Parâmetros!$B$5,'Dados da OS'!$D$8=Parâmetros!$B$6),"-"))))</f>
        <v>-</v>
      </c>
      <c r="AI329" s="83" t="str">
        <f xml:space="preserve">
IF(OR(ISBLANK(V329),ISBLANK(U329),ISBLANK(W329),V329="N/A",ISBLANK('Dados da OS'!$D$8)),"",
   IF(OR('Dados da OS'!$D$8=Parâmetros!$B$3,'Dados da OS'!$D$8=Parâmetros!$B$4),
      IF(OR(AND(V329="INM",AG329&lt;&gt;"VF"),AND(AG329="VF",V329&lt;&gt;"INM")),"",
        IF(AND(V329="INM",AG329="VF"),IF(ISBLANK(AB329),"",AF329*AB329),
        IF('Dados da OS'!$D$8=Parâmetros!$B$4,
           IF(OR(V329="CE",V329="EE"),4,IF(V329="SE",5,IF(V329="ALI",7,IF(V329="AIE",5,"")))),
        IF('Dados da OS'!$D$8=Parâmetros!$B$3,
           IF(OR(ISBLANK(X329),ISBLANK(Z329)),"",
              IF(V329="ALI",IF(AE329="L",7,IF(AE329="A",10,15)),
                 IF(V329="AIE",IF(AE329="L",5,IF(AE329="A",7,10)),
                    IF(V329="SE",IF(AE329="L",4,IF(AE329="A",5,7)),
                       IF(OR(V329="EE",V329="CE"),IF(AE329="L",3,IF(AE329="A",4,6)),""))))))))),
   IF('Dados da OS'!$D$8=Parâmetros!$B$5,
      IF(OR(AND(V329="INM",AG329&lt;&gt;"VF"),AND(AG329="VF",V329&lt;&gt;"INM")),"",
         IF(V329="INM",IF(AG329="VF",AF329*AB329,""),
            IF(V329="PE",4.6,
            IF(V329="AL",7,"")))),
   IF('Dados da OS'!$D$8=Parâmetros!$B$6,
      IF(V329="ALI",35,IF(V329="AIE",15,"")),""))
    )
)</f>
        <v/>
      </c>
      <c r="AJ329" s="82" t="str">
        <f t="shared" si="40"/>
        <v/>
      </c>
      <c r="AK329" s="84"/>
      <c r="AL329" s="85" t="s">
        <v>21</v>
      </c>
      <c r="AM329" s="86"/>
      <c r="AN329" s="85"/>
      <c r="AO329" s="87"/>
      <c r="AP329" s="85"/>
      <c r="AQ329" s="86"/>
      <c r="AR329" s="85"/>
    </row>
    <row r="330" spans="1:44" ht="15.75" customHeight="1">
      <c r="A330" s="54"/>
      <c r="B330" s="100"/>
      <c r="C330" s="55"/>
      <c r="D330" s="55"/>
      <c r="E330" s="56"/>
      <c r="F330" s="55"/>
      <c r="G330" s="56"/>
      <c r="H330" s="55"/>
      <c r="I330" s="64"/>
      <c r="J330" s="57" t="str">
        <f t="shared" si="35"/>
        <v/>
      </c>
      <c r="K330" s="57" t="str">
        <f t="shared" si="36"/>
        <v/>
      </c>
      <c r="L330" s="57" t="str">
        <f xml:space="preserve">
IF(OR('Dados da OS'!$D$8=Parâmetros!$B$3,'Dados da OS'!$D$8=Parâmetros!$B$4),
  IF(OR(ISBLANK(D330),ISBLANK(F330)),
     IF(OR(B330="ALI",B330="AIE"),"L",IF(ISBLANK(B330),"","A")),
     IF(B330="EE",IF(F330&gt;=3,IF(D330&gt;=5,"H","A"),
     IF(F330&gt;=2,IF(D330&gt;=16,"H",IF(D330&lt;=4,"L","A")),IF(D330&lt;=15,"L","A"))),
     IF(OR(B330="SE",B330="CE"),IF(F330&gt;=4,IF(D330&gt;=6,"H","A"),IF(F330&gt;=2,IF(D330&gt;=20,"H",IF(D330&lt;=5,"L","A")),IF(D330&lt;=19,"L","A"))),
     IF(OR(B330="ALI",B330="AIE"),IF(F330&gt;=6,IF(D330&gt;=20,"H","A"),IF(F330&gt;=2,IF(D330&gt;=51,"H",IF(D330&lt;=19,"L","A")),IF(D330&lt;=50,"L","A"))))))),
IF('Dados da OS'!$D$8=Parâmetros!$B$6,"Indicativa",
IF('Dados da OS'!$D$8=Parâmetros!$B$5,"PFS","")))</f>
        <v/>
      </c>
      <c r="M330" s="57">
        <f>IFERROR(VLOOKUP(C330,'Fatores de Impacto e INMs'!$A$3:$D$32,3,0),1)</f>
        <v>1</v>
      </c>
      <c r="N330" s="57">
        <f>IFERROR(VLOOKUP(C330,'Fatores de Impacto e INMs'!$A$3:$E$32,5,0),1)</f>
        <v>1</v>
      </c>
      <c r="O330" s="63" t="str">
        <f xml:space="preserve">
IF(OR('Dados da OS'!$D$8="Selecione o tipo da contagem",ISBLANK('Dados da OS'!$D$8),B330="INM",B330="N/A",ISBLANK(B330),ISBLANK(C330),N330="VF"),"-",
   IF('Dados da OS'!$D$8=Parâmetros!$B$3,
      IF(OR(ISBLANK(D330),ISBLANK(F330)),"-",
         IF(L330="L","Baixa",IF(L330="A","Média",IF(L330="H","Alta","-")))),
      IF('Dados da OS'!$D$8=Parâmetros!$B$4,
         IF(OR(B330="ALI",B330="AIE"),"Baixa",IF(OR(B330="EE",B330="SE",B330="CE"),"Média","-")),
         IF(OR('Dados da OS'!$D$8=Parâmetros!$B$5,'Dados da OS'!$D$8=Parâmetros!$B$6),"-"))))</f>
        <v>-</v>
      </c>
      <c r="P330" s="59" t="str">
        <f xml:space="preserve">
IF(OR(ISBLANK(B330),ISBLANK(C330),B330="N/A",ISBLANK('Dados da OS'!$D$8)),"",
   IF(OR('Dados da OS'!$D$8=Parâmetros!$B$3,'Dados da OS'!$D$8=Parâmetros!$B$4),
      IF(OR(AND(B330="INM",N330&lt;&gt;"VF"),AND(N330="VF",B330&lt;&gt;"INM")),"",
        IF(AND(B330="INM",N330="VF"),IF(ISBLANK(H330),"",M330*H330),
        IF('Dados da OS'!$D$8=Parâmetros!$B$4,
           IF(OR(B330="CE",B330="EE"),4,IF(B330="SE",5,IF(B330="ALI",7,IF(B330="AIE",5,"")))),
        IF('Dados da OS'!$D$8=Parâmetros!$B$3,
           IF(OR(ISBLANK(D330),ISBLANK(F330)),"",
              IF(B330="ALI",IF(L330="L",7,IF(L330="A",10,15)),
                 IF(B330="AIE",IF(L330="L",5,IF(L330="A",7,10)),
                    IF(B330="SE",IF(L330="L",4,IF(L330="A",5,7)),
                       IF(OR(B330="EE",B330="CE"),IF(L330="L",3,IF(L330="A",4,6)),""))))))))),
   IF('Dados da OS'!$D$8=Parâmetros!$B$5,
      IF(OR(AND(B330="INM",N330&lt;&gt;"VF"),AND(N330="VF",B330&lt;&gt;"INM")),"",
         IF(B330="INM",IF(N330="VF",M330*H330,""),
            IF(B330="PE",4.6,
            IF(B330="AL",7,"")))),
   IF('Dados da OS'!$D$8=Parâmetros!$B$6,
      IF(B330="ALI",35,IF(B330="AIE",15,"")),""))
    )
)</f>
        <v/>
      </c>
      <c r="Q330" s="60" t="str">
        <f t="shared" si="37"/>
        <v/>
      </c>
      <c r="R330" s="61"/>
      <c r="S330" s="62"/>
      <c r="T330" s="80" t="s">
        <v>21</v>
      </c>
      <c r="U330" s="81"/>
      <c r="V330" s="99"/>
      <c r="W330" s="55"/>
      <c r="X330" s="55"/>
      <c r="Y330" s="56"/>
      <c r="Z330" s="55"/>
      <c r="AA330" s="56"/>
      <c r="AB330" s="55"/>
      <c r="AC330" s="57" t="str">
        <f t="shared" si="38"/>
        <v/>
      </c>
      <c r="AD330" s="57" t="str">
        <f t="shared" si="39"/>
        <v/>
      </c>
      <c r="AE330" s="57" t="str">
        <f xml:space="preserve">
IF(OR('Dados da OS'!$D$8=Parâmetros!$B$3,'Dados da OS'!$D$8=Parâmetros!$B$4),
  IF(OR(ISBLANK(X330),ISBLANK(Z330)),
     IF(OR(V330="ALI",V330="AIE"),"L",IF(ISBLANK(V330),"","A")),
     IF(V330="EE",IF(Z330&gt;=3,IF(X330&gt;=5,"H","A"),
     IF(Z330&gt;=2,IF(X330&gt;=16,"H",IF(X330&lt;=4,"L","A")),IF(X330&lt;=15,"L","A"))),
     IF(OR(V330="SE",V330="CE"),IF(Z330&gt;=4,IF(X330&gt;=6,"H","A"),IF(Z330&gt;=2,IF(X330&gt;=20,"H",IF(X330&lt;=5,"L","A")),IF(X330&lt;=19,"L","A"))),
     IF(OR(V330="ALI",V330="AIE"),IF(Z330&gt;=6,IF(X330&gt;=20,"H","A"),IF(Z330&gt;=2,IF(X330&gt;=51,"H",IF(X330&lt;=19,"L","A")),IF(X330&lt;=50,"L","A"))))))),
IF('Dados da OS'!$D$8=Parâmetros!$B$6,"Indicativa",
IF('Dados da OS'!$D$8=Parâmetros!$B$5,"PFS","")))</f>
        <v/>
      </c>
      <c r="AF330" s="57">
        <f>IFERROR(VLOOKUP(W330,'Fatores de Impacto e INMs'!$A$3:$D$32,3,0),1)</f>
        <v>1</v>
      </c>
      <c r="AG330" s="57">
        <f>IFERROR(VLOOKUP(W330,'Fatores de Impacto e INMs'!$A$3:$E$32,5,0),1)</f>
        <v>1</v>
      </c>
      <c r="AH330" s="82" t="str">
        <f xml:space="preserve">
IF(OR('Dados da OS'!$D$8="Selecione o tipo da contagem",ISBLANK('Dados da OS'!$D$8),V330="INM",V330="N/A",ISBLANK(V330),ISBLANK(W330),AG330="VF"),"-",
   IF('Dados da OS'!$D$8=Parâmetros!$B$3,
      IF(OR(ISBLANK(X330),ISBLANK(Z330)),"-",
         IF(AE330="L","Baixa",IF(AE330="A","Média",IF(AE330="H","Alta","-")))),
      IF('Dados da OS'!$D$8=Parâmetros!$B$4,
         IF(OR(V330="ALI",V330="AIE"),"Baixa",IF(OR(V330="EE",V330="SE",V330="CE"),"Média","-")),
         IF(OR('Dados da OS'!$D$8=Parâmetros!$B$5,'Dados da OS'!$D$8=Parâmetros!$B$6),"-"))))</f>
        <v>-</v>
      </c>
      <c r="AI330" s="83" t="str">
        <f xml:space="preserve">
IF(OR(ISBLANK(V330),ISBLANK(U330),ISBLANK(W330),V330="N/A",ISBLANK('Dados da OS'!$D$8)),"",
   IF(OR('Dados da OS'!$D$8=Parâmetros!$B$3,'Dados da OS'!$D$8=Parâmetros!$B$4),
      IF(OR(AND(V330="INM",AG330&lt;&gt;"VF"),AND(AG330="VF",V330&lt;&gt;"INM")),"",
        IF(AND(V330="INM",AG330="VF"),IF(ISBLANK(AB330),"",AF330*AB330),
        IF('Dados da OS'!$D$8=Parâmetros!$B$4,
           IF(OR(V330="CE",V330="EE"),4,IF(V330="SE",5,IF(V330="ALI",7,IF(V330="AIE",5,"")))),
        IF('Dados da OS'!$D$8=Parâmetros!$B$3,
           IF(OR(ISBLANK(X330),ISBLANK(Z330)),"",
              IF(V330="ALI",IF(AE330="L",7,IF(AE330="A",10,15)),
                 IF(V330="AIE",IF(AE330="L",5,IF(AE330="A",7,10)),
                    IF(V330="SE",IF(AE330="L",4,IF(AE330="A",5,7)),
                       IF(OR(V330="EE",V330="CE"),IF(AE330="L",3,IF(AE330="A",4,6)),""))))))))),
   IF('Dados da OS'!$D$8=Parâmetros!$B$5,
      IF(OR(AND(V330="INM",AG330&lt;&gt;"VF"),AND(AG330="VF",V330&lt;&gt;"INM")),"",
         IF(V330="INM",IF(AG330="VF",AF330*AB330,""),
            IF(V330="PE",4.6,
            IF(V330="AL",7,"")))),
   IF('Dados da OS'!$D$8=Parâmetros!$B$6,
      IF(V330="ALI",35,IF(V330="AIE",15,"")),""))
    )
)</f>
        <v/>
      </c>
      <c r="AJ330" s="82" t="str">
        <f t="shared" si="40"/>
        <v/>
      </c>
      <c r="AK330" s="84"/>
      <c r="AL330" s="85" t="s">
        <v>21</v>
      </c>
      <c r="AM330" s="86"/>
      <c r="AN330" s="85"/>
      <c r="AO330" s="87"/>
      <c r="AP330" s="85"/>
      <c r="AQ330" s="86"/>
      <c r="AR330" s="85"/>
    </row>
    <row r="331" spans="1:44" ht="15.75" customHeight="1">
      <c r="A331" s="54"/>
      <c r="B331" s="100"/>
      <c r="C331" s="55"/>
      <c r="D331" s="55"/>
      <c r="E331" s="56"/>
      <c r="F331" s="55"/>
      <c r="G331" s="56"/>
      <c r="H331" s="55"/>
      <c r="I331" s="64"/>
      <c r="J331" s="57" t="str">
        <f t="shared" si="35"/>
        <v/>
      </c>
      <c r="K331" s="57" t="str">
        <f t="shared" si="36"/>
        <v/>
      </c>
      <c r="L331" s="57" t="str">
        <f xml:space="preserve">
IF(OR('Dados da OS'!$D$8=Parâmetros!$B$3,'Dados da OS'!$D$8=Parâmetros!$B$4),
  IF(OR(ISBLANK(D331),ISBLANK(F331)),
     IF(OR(B331="ALI",B331="AIE"),"L",IF(ISBLANK(B331),"","A")),
     IF(B331="EE",IF(F331&gt;=3,IF(D331&gt;=5,"H","A"),
     IF(F331&gt;=2,IF(D331&gt;=16,"H",IF(D331&lt;=4,"L","A")),IF(D331&lt;=15,"L","A"))),
     IF(OR(B331="SE",B331="CE"),IF(F331&gt;=4,IF(D331&gt;=6,"H","A"),IF(F331&gt;=2,IF(D331&gt;=20,"H",IF(D331&lt;=5,"L","A")),IF(D331&lt;=19,"L","A"))),
     IF(OR(B331="ALI",B331="AIE"),IF(F331&gt;=6,IF(D331&gt;=20,"H","A"),IF(F331&gt;=2,IF(D331&gt;=51,"H",IF(D331&lt;=19,"L","A")),IF(D331&lt;=50,"L","A"))))))),
IF('Dados da OS'!$D$8=Parâmetros!$B$6,"Indicativa",
IF('Dados da OS'!$D$8=Parâmetros!$B$5,"PFS","")))</f>
        <v/>
      </c>
      <c r="M331" s="57">
        <f>IFERROR(VLOOKUP(C331,'Fatores de Impacto e INMs'!$A$3:$D$32,3,0),1)</f>
        <v>1</v>
      </c>
      <c r="N331" s="57">
        <f>IFERROR(VLOOKUP(C331,'Fatores de Impacto e INMs'!$A$3:$E$32,5,0),1)</f>
        <v>1</v>
      </c>
      <c r="O331" s="63" t="str">
        <f xml:space="preserve">
IF(OR('Dados da OS'!$D$8="Selecione o tipo da contagem",ISBLANK('Dados da OS'!$D$8),B331="INM",B331="N/A",ISBLANK(B331),ISBLANK(C331),N331="VF"),"-",
   IF('Dados da OS'!$D$8=Parâmetros!$B$3,
      IF(OR(ISBLANK(D331),ISBLANK(F331)),"-",
         IF(L331="L","Baixa",IF(L331="A","Média",IF(L331="H","Alta","-")))),
      IF('Dados da OS'!$D$8=Parâmetros!$B$4,
         IF(OR(B331="ALI",B331="AIE"),"Baixa",IF(OR(B331="EE",B331="SE",B331="CE"),"Média","-")),
         IF(OR('Dados da OS'!$D$8=Parâmetros!$B$5,'Dados da OS'!$D$8=Parâmetros!$B$6),"-"))))</f>
        <v>-</v>
      </c>
      <c r="P331" s="59" t="str">
        <f xml:space="preserve">
IF(OR(ISBLANK(B331),ISBLANK(C331),B331="N/A",ISBLANK('Dados da OS'!$D$8)),"",
   IF(OR('Dados da OS'!$D$8=Parâmetros!$B$3,'Dados da OS'!$D$8=Parâmetros!$B$4),
      IF(OR(AND(B331="INM",N331&lt;&gt;"VF"),AND(N331="VF",B331&lt;&gt;"INM")),"",
        IF(AND(B331="INM",N331="VF"),IF(ISBLANK(H331),"",M331*H331),
        IF('Dados da OS'!$D$8=Parâmetros!$B$4,
           IF(OR(B331="CE",B331="EE"),4,IF(B331="SE",5,IF(B331="ALI",7,IF(B331="AIE",5,"")))),
        IF('Dados da OS'!$D$8=Parâmetros!$B$3,
           IF(OR(ISBLANK(D331),ISBLANK(F331)),"",
              IF(B331="ALI",IF(L331="L",7,IF(L331="A",10,15)),
                 IF(B331="AIE",IF(L331="L",5,IF(L331="A",7,10)),
                    IF(B331="SE",IF(L331="L",4,IF(L331="A",5,7)),
                       IF(OR(B331="EE",B331="CE"),IF(L331="L",3,IF(L331="A",4,6)),""))))))))),
   IF('Dados da OS'!$D$8=Parâmetros!$B$5,
      IF(OR(AND(B331="INM",N331&lt;&gt;"VF"),AND(N331="VF",B331&lt;&gt;"INM")),"",
         IF(B331="INM",IF(N331="VF",M331*H331,""),
            IF(B331="PE",4.6,
            IF(B331="AL",7,"")))),
   IF('Dados da OS'!$D$8=Parâmetros!$B$6,
      IF(B331="ALI",35,IF(B331="AIE",15,"")),""))
    )
)</f>
        <v/>
      </c>
      <c r="Q331" s="60" t="str">
        <f t="shared" si="37"/>
        <v/>
      </c>
      <c r="R331" s="61"/>
      <c r="S331" s="62"/>
      <c r="T331" s="80" t="s">
        <v>21</v>
      </c>
      <c r="U331" s="81"/>
      <c r="V331" s="99"/>
      <c r="W331" s="55"/>
      <c r="X331" s="55"/>
      <c r="Y331" s="56"/>
      <c r="Z331" s="55"/>
      <c r="AA331" s="56"/>
      <c r="AB331" s="55"/>
      <c r="AC331" s="57" t="str">
        <f t="shared" si="38"/>
        <v/>
      </c>
      <c r="AD331" s="57" t="str">
        <f t="shared" si="39"/>
        <v/>
      </c>
      <c r="AE331" s="57" t="str">
        <f xml:space="preserve">
IF(OR('Dados da OS'!$D$8=Parâmetros!$B$3,'Dados da OS'!$D$8=Parâmetros!$B$4),
  IF(OR(ISBLANK(X331),ISBLANK(Z331)),
     IF(OR(V331="ALI",V331="AIE"),"L",IF(ISBLANK(V331),"","A")),
     IF(V331="EE",IF(Z331&gt;=3,IF(X331&gt;=5,"H","A"),
     IF(Z331&gt;=2,IF(X331&gt;=16,"H",IF(X331&lt;=4,"L","A")),IF(X331&lt;=15,"L","A"))),
     IF(OR(V331="SE",V331="CE"),IF(Z331&gt;=4,IF(X331&gt;=6,"H","A"),IF(Z331&gt;=2,IF(X331&gt;=20,"H",IF(X331&lt;=5,"L","A")),IF(X331&lt;=19,"L","A"))),
     IF(OR(V331="ALI",V331="AIE"),IF(Z331&gt;=6,IF(X331&gt;=20,"H","A"),IF(Z331&gt;=2,IF(X331&gt;=51,"H",IF(X331&lt;=19,"L","A")),IF(X331&lt;=50,"L","A"))))))),
IF('Dados da OS'!$D$8=Parâmetros!$B$6,"Indicativa",
IF('Dados da OS'!$D$8=Parâmetros!$B$5,"PFS","")))</f>
        <v/>
      </c>
      <c r="AF331" s="57">
        <f>IFERROR(VLOOKUP(W331,'Fatores de Impacto e INMs'!$A$3:$D$32,3,0),1)</f>
        <v>1</v>
      </c>
      <c r="AG331" s="57">
        <f>IFERROR(VLOOKUP(W331,'Fatores de Impacto e INMs'!$A$3:$E$32,5,0),1)</f>
        <v>1</v>
      </c>
      <c r="AH331" s="82" t="str">
        <f xml:space="preserve">
IF(OR('Dados da OS'!$D$8="Selecione o tipo da contagem",ISBLANK('Dados da OS'!$D$8),V331="INM",V331="N/A",ISBLANK(V331),ISBLANK(W331),AG331="VF"),"-",
   IF('Dados da OS'!$D$8=Parâmetros!$B$3,
      IF(OR(ISBLANK(X331),ISBLANK(Z331)),"-",
         IF(AE331="L","Baixa",IF(AE331="A","Média",IF(AE331="H","Alta","-")))),
      IF('Dados da OS'!$D$8=Parâmetros!$B$4,
         IF(OR(V331="ALI",V331="AIE"),"Baixa",IF(OR(V331="EE",V331="SE",V331="CE"),"Média","-")),
         IF(OR('Dados da OS'!$D$8=Parâmetros!$B$5,'Dados da OS'!$D$8=Parâmetros!$B$6),"-"))))</f>
        <v>-</v>
      </c>
      <c r="AI331" s="83" t="str">
        <f xml:space="preserve">
IF(OR(ISBLANK(V331),ISBLANK(U331),ISBLANK(W331),V331="N/A",ISBLANK('Dados da OS'!$D$8)),"",
   IF(OR('Dados da OS'!$D$8=Parâmetros!$B$3,'Dados da OS'!$D$8=Parâmetros!$B$4),
      IF(OR(AND(V331="INM",AG331&lt;&gt;"VF"),AND(AG331="VF",V331&lt;&gt;"INM")),"",
        IF(AND(V331="INM",AG331="VF"),IF(ISBLANK(AB331),"",AF331*AB331),
        IF('Dados da OS'!$D$8=Parâmetros!$B$4,
           IF(OR(V331="CE",V331="EE"),4,IF(V331="SE",5,IF(V331="ALI",7,IF(V331="AIE",5,"")))),
        IF('Dados da OS'!$D$8=Parâmetros!$B$3,
           IF(OR(ISBLANK(X331),ISBLANK(Z331)),"",
              IF(V331="ALI",IF(AE331="L",7,IF(AE331="A",10,15)),
                 IF(V331="AIE",IF(AE331="L",5,IF(AE331="A",7,10)),
                    IF(V331="SE",IF(AE331="L",4,IF(AE331="A",5,7)),
                       IF(OR(V331="EE",V331="CE"),IF(AE331="L",3,IF(AE331="A",4,6)),""))))))))),
   IF('Dados da OS'!$D$8=Parâmetros!$B$5,
      IF(OR(AND(V331="INM",AG331&lt;&gt;"VF"),AND(AG331="VF",V331&lt;&gt;"INM")),"",
         IF(V331="INM",IF(AG331="VF",AF331*AB331,""),
            IF(V331="PE",4.6,
            IF(V331="AL",7,"")))),
   IF('Dados da OS'!$D$8=Parâmetros!$B$6,
      IF(V331="ALI",35,IF(V331="AIE",15,"")),""))
    )
)</f>
        <v/>
      </c>
      <c r="AJ331" s="82" t="str">
        <f t="shared" si="40"/>
        <v/>
      </c>
      <c r="AK331" s="84"/>
      <c r="AL331" s="85" t="s">
        <v>21</v>
      </c>
      <c r="AM331" s="86"/>
      <c r="AN331" s="85"/>
      <c r="AO331" s="87"/>
      <c r="AP331" s="85"/>
      <c r="AQ331" s="86"/>
      <c r="AR331" s="85"/>
    </row>
    <row r="332" spans="1:44" ht="15.75" customHeight="1">
      <c r="A332" s="54"/>
      <c r="B332" s="100"/>
      <c r="C332" s="55"/>
      <c r="D332" s="55"/>
      <c r="E332" s="56"/>
      <c r="F332" s="55"/>
      <c r="G332" s="56"/>
      <c r="H332" s="55"/>
      <c r="I332" s="64"/>
      <c r="J332" s="57" t="str">
        <f t="shared" si="35"/>
        <v/>
      </c>
      <c r="K332" s="57" t="str">
        <f t="shared" si="36"/>
        <v/>
      </c>
      <c r="L332" s="57" t="str">
        <f xml:space="preserve">
IF(OR('Dados da OS'!$D$8=Parâmetros!$B$3,'Dados da OS'!$D$8=Parâmetros!$B$4),
  IF(OR(ISBLANK(D332),ISBLANK(F332)),
     IF(OR(B332="ALI",B332="AIE"),"L",IF(ISBLANK(B332),"","A")),
     IF(B332="EE",IF(F332&gt;=3,IF(D332&gt;=5,"H","A"),
     IF(F332&gt;=2,IF(D332&gt;=16,"H",IF(D332&lt;=4,"L","A")),IF(D332&lt;=15,"L","A"))),
     IF(OR(B332="SE",B332="CE"),IF(F332&gt;=4,IF(D332&gt;=6,"H","A"),IF(F332&gt;=2,IF(D332&gt;=20,"H",IF(D332&lt;=5,"L","A")),IF(D332&lt;=19,"L","A"))),
     IF(OR(B332="ALI",B332="AIE"),IF(F332&gt;=6,IF(D332&gt;=20,"H","A"),IF(F332&gt;=2,IF(D332&gt;=51,"H",IF(D332&lt;=19,"L","A")),IF(D332&lt;=50,"L","A"))))))),
IF('Dados da OS'!$D$8=Parâmetros!$B$6,"Indicativa",
IF('Dados da OS'!$D$8=Parâmetros!$B$5,"PFS","")))</f>
        <v/>
      </c>
      <c r="M332" s="57">
        <f>IFERROR(VLOOKUP(C332,'Fatores de Impacto e INMs'!$A$3:$D$32,3,0),1)</f>
        <v>1</v>
      </c>
      <c r="N332" s="57">
        <f>IFERROR(VLOOKUP(C332,'Fatores de Impacto e INMs'!$A$3:$E$32,5,0),1)</f>
        <v>1</v>
      </c>
      <c r="O332" s="63" t="str">
        <f xml:space="preserve">
IF(OR('Dados da OS'!$D$8="Selecione o tipo da contagem",ISBLANK('Dados da OS'!$D$8),B332="INM",B332="N/A",ISBLANK(B332),ISBLANK(C332),N332="VF"),"-",
   IF('Dados da OS'!$D$8=Parâmetros!$B$3,
      IF(OR(ISBLANK(D332),ISBLANK(F332)),"-",
         IF(L332="L","Baixa",IF(L332="A","Média",IF(L332="H","Alta","-")))),
      IF('Dados da OS'!$D$8=Parâmetros!$B$4,
         IF(OR(B332="ALI",B332="AIE"),"Baixa",IF(OR(B332="EE",B332="SE",B332="CE"),"Média","-")),
         IF(OR('Dados da OS'!$D$8=Parâmetros!$B$5,'Dados da OS'!$D$8=Parâmetros!$B$6),"-"))))</f>
        <v>-</v>
      </c>
      <c r="P332" s="59" t="str">
        <f xml:space="preserve">
IF(OR(ISBLANK(B332),ISBLANK(C332),B332="N/A",ISBLANK('Dados da OS'!$D$8)),"",
   IF(OR('Dados da OS'!$D$8=Parâmetros!$B$3,'Dados da OS'!$D$8=Parâmetros!$B$4),
      IF(OR(AND(B332="INM",N332&lt;&gt;"VF"),AND(N332="VF",B332&lt;&gt;"INM")),"",
        IF(AND(B332="INM",N332="VF"),IF(ISBLANK(H332),"",M332*H332),
        IF('Dados da OS'!$D$8=Parâmetros!$B$4,
           IF(OR(B332="CE",B332="EE"),4,IF(B332="SE",5,IF(B332="ALI",7,IF(B332="AIE",5,"")))),
        IF('Dados da OS'!$D$8=Parâmetros!$B$3,
           IF(OR(ISBLANK(D332),ISBLANK(F332)),"",
              IF(B332="ALI",IF(L332="L",7,IF(L332="A",10,15)),
                 IF(B332="AIE",IF(L332="L",5,IF(L332="A",7,10)),
                    IF(B332="SE",IF(L332="L",4,IF(L332="A",5,7)),
                       IF(OR(B332="EE",B332="CE"),IF(L332="L",3,IF(L332="A",4,6)),""))))))))),
   IF('Dados da OS'!$D$8=Parâmetros!$B$5,
      IF(OR(AND(B332="INM",N332&lt;&gt;"VF"),AND(N332="VF",B332&lt;&gt;"INM")),"",
         IF(B332="INM",IF(N332="VF",M332*H332,""),
            IF(B332="PE",4.6,
            IF(B332="AL",7,"")))),
   IF('Dados da OS'!$D$8=Parâmetros!$B$6,
      IF(B332="ALI",35,IF(B332="AIE",15,"")),""))
    )
)</f>
        <v/>
      </c>
      <c r="Q332" s="60" t="str">
        <f t="shared" si="37"/>
        <v/>
      </c>
      <c r="R332" s="61"/>
      <c r="S332" s="62"/>
      <c r="T332" s="80" t="s">
        <v>21</v>
      </c>
      <c r="U332" s="81"/>
      <c r="V332" s="99"/>
      <c r="W332" s="55"/>
      <c r="X332" s="55"/>
      <c r="Y332" s="56"/>
      <c r="Z332" s="55"/>
      <c r="AA332" s="56"/>
      <c r="AB332" s="55"/>
      <c r="AC332" s="57" t="str">
        <f t="shared" si="38"/>
        <v/>
      </c>
      <c r="AD332" s="57" t="str">
        <f t="shared" si="39"/>
        <v/>
      </c>
      <c r="AE332" s="57" t="str">
        <f xml:space="preserve">
IF(OR('Dados da OS'!$D$8=Parâmetros!$B$3,'Dados da OS'!$D$8=Parâmetros!$B$4),
  IF(OR(ISBLANK(X332),ISBLANK(Z332)),
     IF(OR(V332="ALI",V332="AIE"),"L",IF(ISBLANK(V332),"","A")),
     IF(V332="EE",IF(Z332&gt;=3,IF(X332&gt;=5,"H","A"),
     IF(Z332&gt;=2,IF(X332&gt;=16,"H",IF(X332&lt;=4,"L","A")),IF(X332&lt;=15,"L","A"))),
     IF(OR(V332="SE",V332="CE"),IF(Z332&gt;=4,IF(X332&gt;=6,"H","A"),IF(Z332&gt;=2,IF(X332&gt;=20,"H",IF(X332&lt;=5,"L","A")),IF(X332&lt;=19,"L","A"))),
     IF(OR(V332="ALI",V332="AIE"),IF(Z332&gt;=6,IF(X332&gt;=20,"H","A"),IF(Z332&gt;=2,IF(X332&gt;=51,"H",IF(X332&lt;=19,"L","A")),IF(X332&lt;=50,"L","A"))))))),
IF('Dados da OS'!$D$8=Parâmetros!$B$6,"Indicativa",
IF('Dados da OS'!$D$8=Parâmetros!$B$5,"PFS","")))</f>
        <v/>
      </c>
      <c r="AF332" s="57">
        <f>IFERROR(VLOOKUP(W332,'Fatores de Impacto e INMs'!$A$3:$D$32,3,0),1)</f>
        <v>1</v>
      </c>
      <c r="AG332" s="57">
        <f>IFERROR(VLOOKUP(W332,'Fatores de Impacto e INMs'!$A$3:$E$32,5,0),1)</f>
        <v>1</v>
      </c>
      <c r="AH332" s="82" t="str">
        <f xml:space="preserve">
IF(OR('Dados da OS'!$D$8="Selecione o tipo da contagem",ISBLANK('Dados da OS'!$D$8),V332="INM",V332="N/A",ISBLANK(V332),ISBLANK(W332),AG332="VF"),"-",
   IF('Dados da OS'!$D$8=Parâmetros!$B$3,
      IF(OR(ISBLANK(X332),ISBLANK(Z332)),"-",
         IF(AE332="L","Baixa",IF(AE332="A","Média",IF(AE332="H","Alta","-")))),
      IF('Dados da OS'!$D$8=Parâmetros!$B$4,
         IF(OR(V332="ALI",V332="AIE"),"Baixa",IF(OR(V332="EE",V332="SE",V332="CE"),"Média","-")),
         IF(OR('Dados da OS'!$D$8=Parâmetros!$B$5,'Dados da OS'!$D$8=Parâmetros!$B$6),"-"))))</f>
        <v>-</v>
      </c>
      <c r="AI332" s="83" t="str">
        <f xml:space="preserve">
IF(OR(ISBLANK(V332),ISBLANK(U332),ISBLANK(W332),V332="N/A",ISBLANK('Dados da OS'!$D$8)),"",
   IF(OR('Dados da OS'!$D$8=Parâmetros!$B$3,'Dados da OS'!$D$8=Parâmetros!$B$4),
      IF(OR(AND(V332="INM",AG332&lt;&gt;"VF"),AND(AG332="VF",V332&lt;&gt;"INM")),"",
        IF(AND(V332="INM",AG332="VF"),IF(ISBLANK(AB332),"",AF332*AB332),
        IF('Dados da OS'!$D$8=Parâmetros!$B$4,
           IF(OR(V332="CE",V332="EE"),4,IF(V332="SE",5,IF(V332="ALI",7,IF(V332="AIE",5,"")))),
        IF('Dados da OS'!$D$8=Parâmetros!$B$3,
           IF(OR(ISBLANK(X332),ISBLANK(Z332)),"",
              IF(V332="ALI",IF(AE332="L",7,IF(AE332="A",10,15)),
                 IF(V332="AIE",IF(AE332="L",5,IF(AE332="A",7,10)),
                    IF(V332="SE",IF(AE332="L",4,IF(AE332="A",5,7)),
                       IF(OR(V332="EE",V332="CE"),IF(AE332="L",3,IF(AE332="A",4,6)),""))))))))),
   IF('Dados da OS'!$D$8=Parâmetros!$B$5,
      IF(OR(AND(V332="INM",AG332&lt;&gt;"VF"),AND(AG332="VF",V332&lt;&gt;"INM")),"",
         IF(V332="INM",IF(AG332="VF",AF332*AB332,""),
            IF(V332="PE",4.6,
            IF(V332="AL",7,"")))),
   IF('Dados da OS'!$D$8=Parâmetros!$B$6,
      IF(V332="ALI",35,IF(V332="AIE",15,"")),""))
    )
)</f>
        <v/>
      </c>
      <c r="AJ332" s="82" t="str">
        <f t="shared" si="40"/>
        <v/>
      </c>
      <c r="AK332" s="84"/>
      <c r="AL332" s="85" t="s">
        <v>21</v>
      </c>
      <c r="AM332" s="86"/>
      <c r="AN332" s="85"/>
      <c r="AO332" s="87"/>
      <c r="AP332" s="85"/>
      <c r="AQ332" s="86"/>
      <c r="AR332" s="85"/>
    </row>
    <row r="333" spans="1:44" ht="15.75" customHeight="1">
      <c r="A333" s="54"/>
      <c r="B333" s="100"/>
      <c r="C333" s="55"/>
      <c r="D333" s="55"/>
      <c r="E333" s="56"/>
      <c r="F333" s="55"/>
      <c r="G333" s="56"/>
      <c r="H333" s="55"/>
      <c r="I333" s="64"/>
      <c r="J333" s="57" t="str">
        <f t="shared" si="35"/>
        <v/>
      </c>
      <c r="K333" s="57" t="str">
        <f t="shared" si="36"/>
        <v/>
      </c>
      <c r="L333" s="57" t="str">
        <f xml:space="preserve">
IF(OR('Dados da OS'!$D$8=Parâmetros!$B$3,'Dados da OS'!$D$8=Parâmetros!$B$4),
  IF(OR(ISBLANK(D333),ISBLANK(F333)),
     IF(OR(B333="ALI",B333="AIE"),"L",IF(ISBLANK(B333),"","A")),
     IF(B333="EE",IF(F333&gt;=3,IF(D333&gt;=5,"H","A"),
     IF(F333&gt;=2,IF(D333&gt;=16,"H",IF(D333&lt;=4,"L","A")),IF(D333&lt;=15,"L","A"))),
     IF(OR(B333="SE",B333="CE"),IF(F333&gt;=4,IF(D333&gt;=6,"H","A"),IF(F333&gt;=2,IF(D333&gt;=20,"H",IF(D333&lt;=5,"L","A")),IF(D333&lt;=19,"L","A"))),
     IF(OR(B333="ALI",B333="AIE"),IF(F333&gt;=6,IF(D333&gt;=20,"H","A"),IF(F333&gt;=2,IF(D333&gt;=51,"H",IF(D333&lt;=19,"L","A")),IF(D333&lt;=50,"L","A"))))))),
IF('Dados da OS'!$D$8=Parâmetros!$B$6,"Indicativa",
IF('Dados da OS'!$D$8=Parâmetros!$B$5,"PFS","")))</f>
        <v/>
      </c>
      <c r="M333" s="57">
        <f>IFERROR(VLOOKUP(C333,'Fatores de Impacto e INMs'!$A$3:$D$32,3,0),1)</f>
        <v>1</v>
      </c>
      <c r="N333" s="57">
        <f>IFERROR(VLOOKUP(C333,'Fatores de Impacto e INMs'!$A$3:$E$32,5,0),1)</f>
        <v>1</v>
      </c>
      <c r="O333" s="63" t="str">
        <f xml:space="preserve">
IF(OR('Dados da OS'!$D$8="Selecione o tipo da contagem",ISBLANK('Dados da OS'!$D$8),B333="INM",B333="N/A",ISBLANK(B333),ISBLANK(C333),N333="VF"),"-",
   IF('Dados da OS'!$D$8=Parâmetros!$B$3,
      IF(OR(ISBLANK(D333),ISBLANK(F333)),"-",
         IF(L333="L","Baixa",IF(L333="A","Média",IF(L333="H","Alta","-")))),
      IF('Dados da OS'!$D$8=Parâmetros!$B$4,
         IF(OR(B333="ALI",B333="AIE"),"Baixa",IF(OR(B333="EE",B333="SE",B333="CE"),"Média","-")),
         IF(OR('Dados da OS'!$D$8=Parâmetros!$B$5,'Dados da OS'!$D$8=Parâmetros!$B$6),"-"))))</f>
        <v>-</v>
      </c>
      <c r="P333" s="59" t="str">
        <f xml:space="preserve">
IF(OR(ISBLANK(B333),ISBLANK(C333),B333="N/A",ISBLANK('Dados da OS'!$D$8)),"",
   IF(OR('Dados da OS'!$D$8=Parâmetros!$B$3,'Dados da OS'!$D$8=Parâmetros!$B$4),
      IF(OR(AND(B333="INM",N333&lt;&gt;"VF"),AND(N333="VF",B333&lt;&gt;"INM")),"",
        IF(AND(B333="INM",N333="VF"),IF(ISBLANK(H333),"",M333*H333),
        IF('Dados da OS'!$D$8=Parâmetros!$B$4,
           IF(OR(B333="CE",B333="EE"),4,IF(B333="SE",5,IF(B333="ALI",7,IF(B333="AIE",5,"")))),
        IF('Dados da OS'!$D$8=Parâmetros!$B$3,
           IF(OR(ISBLANK(D333),ISBLANK(F333)),"",
              IF(B333="ALI",IF(L333="L",7,IF(L333="A",10,15)),
                 IF(B333="AIE",IF(L333="L",5,IF(L333="A",7,10)),
                    IF(B333="SE",IF(L333="L",4,IF(L333="A",5,7)),
                       IF(OR(B333="EE",B333="CE"),IF(L333="L",3,IF(L333="A",4,6)),""))))))))),
   IF('Dados da OS'!$D$8=Parâmetros!$B$5,
      IF(OR(AND(B333="INM",N333&lt;&gt;"VF"),AND(N333="VF",B333&lt;&gt;"INM")),"",
         IF(B333="INM",IF(N333="VF",M333*H333,""),
            IF(B333="PE",4.6,
            IF(B333="AL",7,"")))),
   IF('Dados da OS'!$D$8=Parâmetros!$B$6,
      IF(B333="ALI",35,IF(B333="AIE",15,"")),""))
    )
)</f>
        <v/>
      </c>
      <c r="Q333" s="60" t="str">
        <f t="shared" si="37"/>
        <v/>
      </c>
      <c r="R333" s="61"/>
      <c r="S333" s="62"/>
      <c r="T333" s="80" t="s">
        <v>21</v>
      </c>
      <c r="U333" s="81"/>
      <c r="V333" s="99"/>
      <c r="W333" s="55"/>
      <c r="X333" s="55"/>
      <c r="Y333" s="56"/>
      <c r="Z333" s="55"/>
      <c r="AA333" s="56"/>
      <c r="AB333" s="55"/>
      <c r="AC333" s="57" t="str">
        <f t="shared" si="38"/>
        <v/>
      </c>
      <c r="AD333" s="57" t="str">
        <f t="shared" si="39"/>
        <v/>
      </c>
      <c r="AE333" s="57" t="str">
        <f xml:space="preserve">
IF(OR('Dados da OS'!$D$8=Parâmetros!$B$3,'Dados da OS'!$D$8=Parâmetros!$B$4),
  IF(OR(ISBLANK(X333),ISBLANK(Z333)),
     IF(OR(V333="ALI",V333="AIE"),"L",IF(ISBLANK(V333),"","A")),
     IF(V333="EE",IF(Z333&gt;=3,IF(X333&gt;=5,"H","A"),
     IF(Z333&gt;=2,IF(X333&gt;=16,"H",IF(X333&lt;=4,"L","A")),IF(X333&lt;=15,"L","A"))),
     IF(OR(V333="SE",V333="CE"),IF(Z333&gt;=4,IF(X333&gt;=6,"H","A"),IF(Z333&gt;=2,IF(X333&gt;=20,"H",IF(X333&lt;=5,"L","A")),IF(X333&lt;=19,"L","A"))),
     IF(OR(V333="ALI",V333="AIE"),IF(Z333&gt;=6,IF(X333&gt;=20,"H","A"),IF(Z333&gt;=2,IF(X333&gt;=51,"H",IF(X333&lt;=19,"L","A")),IF(X333&lt;=50,"L","A"))))))),
IF('Dados da OS'!$D$8=Parâmetros!$B$6,"Indicativa",
IF('Dados da OS'!$D$8=Parâmetros!$B$5,"PFS","")))</f>
        <v/>
      </c>
      <c r="AF333" s="57">
        <f>IFERROR(VLOOKUP(W333,'Fatores de Impacto e INMs'!$A$3:$D$32,3,0),1)</f>
        <v>1</v>
      </c>
      <c r="AG333" s="57">
        <f>IFERROR(VLOOKUP(W333,'Fatores de Impacto e INMs'!$A$3:$E$32,5,0),1)</f>
        <v>1</v>
      </c>
      <c r="AH333" s="82" t="str">
        <f xml:space="preserve">
IF(OR('Dados da OS'!$D$8="Selecione o tipo da contagem",ISBLANK('Dados da OS'!$D$8),V333="INM",V333="N/A",ISBLANK(V333),ISBLANK(W333),AG333="VF"),"-",
   IF('Dados da OS'!$D$8=Parâmetros!$B$3,
      IF(OR(ISBLANK(X333),ISBLANK(Z333)),"-",
         IF(AE333="L","Baixa",IF(AE333="A","Média",IF(AE333="H","Alta","-")))),
      IF('Dados da OS'!$D$8=Parâmetros!$B$4,
         IF(OR(V333="ALI",V333="AIE"),"Baixa",IF(OR(V333="EE",V333="SE",V333="CE"),"Média","-")),
         IF(OR('Dados da OS'!$D$8=Parâmetros!$B$5,'Dados da OS'!$D$8=Parâmetros!$B$6),"-"))))</f>
        <v>-</v>
      </c>
      <c r="AI333" s="83" t="str">
        <f xml:space="preserve">
IF(OR(ISBLANK(V333),ISBLANK(U333),ISBLANK(W333),V333="N/A",ISBLANK('Dados da OS'!$D$8)),"",
   IF(OR('Dados da OS'!$D$8=Parâmetros!$B$3,'Dados da OS'!$D$8=Parâmetros!$B$4),
      IF(OR(AND(V333="INM",AG333&lt;&gt;"VF"),AND(AG333="VF",V333&lt;&gt;"INM")),"",
        IF(AND(V333="INM",AG333="VF"),IF(ISBLANK(AB333),"",AF333*AB333),
        IF('Dados da OS'!$D$8=Parâmetros!$B$4,
           IF(OR(V333="CE",V333="EE"),4,IF(V333="SE",5,IF(V333="ALI",7,IF(V333="AIE",5,"")))),
        IF('Dados da OS'!$D$8=Parâmetros!$B$3,
           IF(OR(ISBLANK(X333),ISBLANK(Z333)),"",
              IF(V333="ALI",IF(AE333="L",7,IF(AE333="A",10,15)),
                 IF(V333="AIE",IF(AE333="L",5,IF(AE333="A",7,10)),
                    IF(V333="SE",IF(AE333="L",4,IF(AE333="A",5,7)),
                       IF(OR(V333="EE",V333="CE"),IF(AE333="L",3,IF(AE333="A",4,6)),""))))))))),
   IF('Dados da OS'!$D$8=Parâmetros!$B$5,
      IF(OR(AND(V333="INM",AG333&lt;&gt;"VF"),AND(AG333="VF",V333&lt;&gt;"INM")),"",
         IF(V333="INM",IF(AG333="VF",AF333*AB333,""),
            IF(V333="PE",4.6,
            IF(V333="AL",7,"")))),
   IF('Dados da OS'!$D$8=Parâmetros!$B$6,
      IF(V333="ALI",35,IF(V333="AIE",15,"")),""))
    )
)</f>
        <v/>
      </c>
      <c r="AJ333" s="82" t="str">
        <f t="shared" si="40"/>
        <v/>
      </c>
      <c r="AK333" s="84"/>
      <c r="AL333" s="85" t="s">
        <v>21</v>
      </c>
      <c r="AM333" s="86"/>
      <c r="AN333" s="85"/>
      <c r="AO333" s="87"/>
      <c r="AP333" s="85"/>
      <c r="AQ333" s="86"/>
      <c r="AR333" s="85"/>
    </row>
    <row r="334" spans="1:44" ht="15.75" customHeight="1">
      <c r="A334" s="54"/>
      <c r="B334" s="100"/>
      <c r="C334" s="55"/>
      <c r="D334" s="55"/>
      <c r="E334" s="56"/>
      <c r="F334" s="55"/>
      <c r="G334" s="56"/>
      <c r="H334" s="55"/>
      <c r="I334" s="64"/>
      <c r="J334" s="57" t="str">
        <f t="shared" si="35"/>
        <v/>
      </c>
      <c r="K334" s="57" t="str">
        <f t="shared" si="36"/>
        <v/>
      </c>
      <c r="L334" s="57" t="str">
        <f xml:space="preserve">
IF(OR('Dados da OS'!$D$8=Parâmetros!$B$3,'Dados da OS'!$D$8=Parâmetros!$B$4),
  IF(OR(ISBLANK(D334),ISBLANK(F334)),
     IF(OR(B334="ALI",B334="AIE"),"L",IF(ISBLANK(B334),"","A")),
     IF(B334="EE",IF(F334&gt;=3,IF(D334&gt;=5,"H","A"),
     IF(F334&gt;=2,IF(D334&gt;=16,"H",IF(D334&lt;=4,"L","A")),IF(D334&lt;=15,"L","A"))),
     IF(OR(B334="SE",B334="CE"),IF(F334&gt;=4,IF(D334&gt;=6,"H","A"),IF(F334&gt;=2,IF(D334&gt;=20,"H",IF(D334&lt;=5,"L","A")),IF(D334&lt;=19,"L","A"))),
     IF(OR(B334="ALI",B334="AIE"),IF(F334&gt;=6,IF(D334&gt;=20,"H","A"),IF(F334&gt;=2,IF(D334&gt;=51,"H",IF(D334&lt;=19,"L","A")),IF(D334&lt;=50,"L","A"))))))),
IF('Dados da OS'!$D$8=Parâmetros!$B$6,"Indicativa",
IF('Dados da OS'!$D$8=Parâmetros!$B$5,"PFS","")))</f>
        <v/>
      </c>
      <c r="M334" s="57">
        <f>IFERROR(VLOOKUP(C334,'Fatores de Impacto e INMs'!$A$3:$D$32,3,0),1)</f>
        <v>1</v>
      </c>
      <c r="N334" s="57">
        <f>IFERROR(VLOOKUP(C334,'Fatores de Impacto e INMs'!$A$3:$E$32,5,0),1)</f>
        <v>1</v>
      </c>
      <c r="O334" s="63" t="str">
        <f xml:space="preserve">
IF(OR('Dados da OS'!$D$8="Selecione o tipo da contagem",ISBLANK('Dados da OS'!$D$8),B334="INM",B334="N/A",ISBLANK(B334),ISBLANK(C334),N334="VF"),"-",
   IF('Dados da OS'!$D$8=Parâmetros!$B$3,
      IF(OR(ISBLANK(D334),ISBLANK(F334)),"-",
         IF(L334="L","Baixa",IF(L334="A","Média",IF(L334="H","Alta","-")))),
      IF('Dados da OS'!$D$8=Parâmetros!$B$4,
         IF(OR(B334="ALI",B334="AIE"),"Baixa",IF(OR(B334="EE",B334="SE",B334="CE"),"Média","-")),
         IF(OR('Dados da OS'!$D$8=Parâmetros!$B$5,'Dados da OS'!$D$8=Parâmetros!$B$6),"-"))))</f>
        <v>-</v>
      </c>
      <c r="P334" s="59" t="str">
        <f xml:space="preserve">
IF(OR(ISBLANK(B334),ISBLANK(C334),B334="N/A",ISBLANK('Dados da OS'!$D$8)),"",
   IF(OR('Dados da OS'!$D$8=Parâmetros!$B$3,'Dados da OS'!$D$8=Parâmetros!$B$4),
      IF(OR(AND(B334="INM",N334&lt;&gt;"VF"),AND(N334="VF",B334&lt;&gt;"INM")),"",
        IF(AND(B334="INM",N334="VF"),IF(ISBLANK(H334),"",M334*H334),
        IF('Dados da OS'!$D$8=Parâmetros!$B$4,
           IF(OR(B334="CE",B334="EE"),4,IF(B334="SE",5,IF(B334="ALI",7,IF(B334="AIE",5,"")))),
        IF('Dados da OS'!$D$8=Parâmetros!$B$3,
           IF(OR(ISBLANK(D334),ISBLANK(F334)),"",
              IF(B334="ALI",IF(L334="L",7,IF(L334="A",10,15)),
                 IF(B334="AIE",IF(L334="L",5,IF(L334="A",7,10)),
                    IF(B334="SE",IF(L334="L",4,IF(L334="A",5,7)),
                       IF(OR(B334="EE",B334="CE"),IF(L334="L",3,IF(L334="A",4,6)),""))))))))),
   IF('Dados da OS'!$D$8=Parâmetros!$B$5,
      IF(OR(AND(B334="INM",N334&lt;&gt;"VF"),AND(N334="VF",B334&lt;&gt;"INM")),"",
         IF(B334="INM",IF(N334="VF",M334*H334,""),
            IF(B334="PE",4.6,
            IF(B334="AL",7,"")))),
   IF('Dados da OS'!$D$8=Parâmetros!$B$6,
      IF(B334="ALI",35,IF(B334="AIE",15,"")),""))
    )
)</f>
        <v/>
      </c>
      <c r="Q334" s="60" t="str">
        <f t="shared" si="37"/>
        <v/>
      </c>
      <c r="R334" s="61"/>
      <c r="S334" s="62"/>
      <c r="T334" s="80" t="s">
        <v>21</v>
      </c>
      <c r="U334" s="81"/>
      <c r="V334" s="99"/>
      <c r="W334" s="55"/>
      <c r="X334" s="55"/>
      <c r="Y334" s="56"/>
      <c r="Z334" s="55"/>
      <c r="AA334" s="56"/>
      <c r="AB334" s="55"/>
      <c r="AC334" s="57" t="str">
        <f t="shared" si="38"/>
        <v/>
      </c>
      <c r="AD334" s="57" t="str">
        <f t="shared" si="39"/>
        <v/>
      </c>
      <c r="AE334" s="57" t="str">
        <f xml:space="preserve">
IF(OR('Dados da OS'!$D$8=Parâmetros!$B$3,'Dados da OS'!$D$8=Parâmetros!$B$4),
  IF(OR(ISBLANK(X334),ISBLANK(Z334)),
     IF(OR(V334="ALI",V334="AIE"),"L",IF(ISBLANK(V334),"","A")),
     IF(V334="EE",IF(Z334&gt;=3,IF(X334&gt;=5,"H","A"),
     IF(Z334&gt;=2,IF(X334&gt;=16,"H",IF(X334&lt;=4,"L","A")),IF(X334&lt;=15,"L","A"))),
     IF(OR(V334="SE",V334="CE"),IF(Z334&gt;=4,IF(X334&gt;=6,"H","A"),IF(Z334&gt;=2,IF(X334&gt;=20,"H",IF(X334&lt;=5,"L","A")),IF(X334&lt;=19,"L","A"))),
     IF(OR(V334="ALI",V334="AIE"),IF(Z334&gt;=6,IF(X334&gt;=20,"H","A"),IF(Z334&gt;=2,IF(X334&gt;=51,"H",IF(X334&lt;=19,"L","A")),IF(X334&lt;=50,"L","A"))))))),
IF('Dados da OS'!$D$8=Parâmetros!$B$6,"Indicativa",
IF('Dados da OS'!$D$8=Parâmetros!$B$5,"PFS","")))</f>
        <v/>
      </c>
      <c r="AF334" s="57">
        <f>IFERROR(VLOOKUP(W334,'Fatores de Impacto e INMs'!$A$3:$D$32,3,0),1)</f>
        <v>1</v>
      </c>
      <c r="AG334" s="57">
        <f>IFERROR(VLOOKUP(W334,'Fatores de Impacto e INMs'!$A$3:$E$32,5,0),1)</f>
        <v>1</v>
      </c>
      <c r="AH334" s="82" t="str">
        <f xml:space="preserve">
IF(OR('Dados da OS'!$D$8="Selecione o tipo da contagem",ISBLANK('Dados da OS'!$D$8),V334="INM",V334="N/A",ISBLANK(V334),ISBLANK(W334),AG334="VF"),"-",
   IF('Dados da OS'!$D$8=Parâmetros!$B$3,
      IF(OR(ISBLANK(X334),ISBLANK(Z334)),"-",
         IF(AE334="L","Baixa",IF(AE334="A","Média",IF(AE334="H","Alta","-")))),
      IF('Dados da OS'!$D$8=Parâmetros!$B$4,
         IF(OR(V334="ALI",V334="AIE"),"Baixa",IF(OR(V334="EE",V334="SE",V334="CE"),"Média","-")),
         IF(OR('Dados da OS'!$D$8=Parâmetros!$B$5,'Dados da OS'!$D$8=Parâmetros!$B$6),"-"))))</f>
        <v>-</v>
      </c>
      <c r="AI334" s="83" t="str">
        <f xml:space="preserve">
IF(OR(ISBLANK(V334),ISBLANK(U334),ISBLANK(W334),V334="N/A",ISBLANK('Dados da OS'!$D$8)),"",
   IF(OR('Dados da OS'!$D$8=Parâmetros!$B$3,'Dados da OS'!$D$8=Parâmetros!$B$4),
      IF(OR(AND(V334="INM",AG334&lt;&gt;"VF"),AND(AG334="VF",V334&lt;&gt;"INM")),"",
        IF(AND(V334="INM",AG334="VF"),IF(ISBLANK(AB334),"",AF334*AB334),
        IF('Dados da OS'!$D$8=Parâmetros!$B$4,
           IF(OR(V334="CE",V334="EE"),4,IF(V334="SE",5,IF(V334="ALI",7,IF(V334="AIE",5,"")))),
        IF('Dados da OS'!$D$8=Parâmetros!$B$3,
           IF(OR(ISBLANK(X334),ISBLANK(Z334)),"",
              IF(V334="ALI",IF(AE334="L",7,IF(AE334="A",10,15)),
                 IF(V334="AIE",IF(AE334="L",5,IF(AE334="A",7,10)),
                    IF(V334="SE",IF(AE334="L",4,IF(AE334="A",5,7)),
                       IF(OR(V334="EE",V334="CE"),IF(AE334="L",3,IF(AE334="A",4,6)),""))))))))),
   IF('Dados da OS'!$D$8=Parâmetros!$B$5,
      IF(OR(AND(V334="INM",AG334&lt;&gt;"VF"),AND(AG334="VF",V334&lt;&gt;"INM")),"",
         IF(V334="INM",IF(AG334="VF",AF334*AB334,""),
            IF(V334="PE",4.6,
            IF(V334="AL",7,"")))),
   IF('Dados da OS'!$D$8=Parâmetros!$B$6,
      IF(V334="ALI",35,IF(V334="AIE",15,"")),""))
    )
)</f>
        <v/>
      </c>
      <c r="AJ334" s="82" t="str">
        <f t="shared" si="40"/>
        <v/>
      </c>
      <c r="AK334" s="84"/>
      <c r="AL334" s="85" t="s">
        <v>21</v>
      </c>
      <c r="AM334" s="86"/>
      <c r="AN334" s="85"/>
      <c r="AO334" s="87"/>
      <c r="AP334" s="85"/>
      <c r="AQ334" s="86"/>
      <c r="AR334" s="85"/>
    </row>
    <row r="335" spans="1:44" ht="15.75" customHeight="1">
      <c r="A335" s="54"/>
      <c r="B335" s="100"/>
      <c r="C335" s="55"/>
      <c r="D335" s="55"/>
      <c r="E335" s="56"/>
      <c r="F335" s="55"/>
      <c r="G335" s="56"/>
      <c r="H335" s="55"/>
      <c r="I335" s="64"/>
      <c r="J335" s="57" t="str">
        <f t="shared" si="35"/>
        <v/>
      </c>
      <c r="K335" s="57" t="str">
        <f t="shared" si="36"/>
        <v/>
      </c>
      <c r="L335" s="57" t="str">
        <f xml:space="preserve">
IF(OR('Dados da OS'!$D$8=Parâmetros!$B$3,'Dados da OS'!$D$8=Parâmetros!$B$4),
  IF(OR(ISBLANK(D335),ISBLANK(F335)),
     IF(OR(B335="ALI",B335="AIE"),"L",IF(ISBLANK(B335),"","A")),
     IF(B335="EE",IF(F335&gt;=3,IF(D335&gt;=5,"H","A"),
     IF(F335&gt;=2,IF(D335&gt;=16,"H",IF(D335&lt;=4,"L","A")),IF(D335&lt;=15,"L","A"))),
     IF(OR(B335="SE",B335="CE"),IF(F335&gt;=4,IF(D335&gt;=6,"H","A"),IF(F335&gt;=2,IF(D335&gt;=20,"H",IF(D335&lt;=5,"L","A")),IF(D335&lt;=19,"L","A"))),
     IF(OR(B335="ALI",B335="AIE"),IF(F335&gt;=6,IF(D335&gt;=20,"H","A"),IF(F335&gt;=2,IF(D335&gt;=51,"H",IF(D335&lt;=19,"L","A")),IF(D335&lt;=50,"L","A"))))))),
IF('Dados da OS'!$D$8=Parâmetros!$B$6,"Indicativa",
IF('Dados da OS'!$D$8=Parâmetros!$B$5,"PFS","")))</f>
        <v/>
      </c>
      <c r="M335" s="57">
        <f>IFERROR(VLOOKUP(C335,'Fatores de Impacto e INMs'!$A$3:$D$32,3,0),1)</f>
        <v>1</v>
      </c>
      <c r="N335" s="57">
        <f>IFERROR(VLOOKUP(C335,'Fatores de Impacto e INMs'!$A$3:$E$32,5,0),1)</f>
        <v>1</v>
      </c>
      <c r="O335" s="63" t="str">
        <f xml:space="preserve">
IF(OR('Dados da OS'!$D$8="Selecione o tipo da contagem",ISBLANK('Dados da OS'!$D$8),B335="INM",B335="N/A",ISBLANK(B335),ISBLANK(C335),N335="VF"),"-",
   IF('Dados da OS'!$D$8=Parâmetros!$B$3,
      IF(OR(ISBLANK(D335),ISBLANK(F335)),"-",
         IF(L335="L","Baixa",IF(L335="A","Média",IF(L335="H","Alta","-")))),
      IF('Dados da OS'!$D$8=Parâmetros!$B$4,
         IF(OR(B335="ALI",B335="AIE"),"Baixa",IF(OR(B335="EE",B335="SE",B335="CE"),"Média","-")),
         IF(OR('Dados da OS'!$D$8=Parâmetros!$B$5,'Dados da OS'!$D$8=Parâmetros!$B$6),"-"))))</f>
        <v>-</v>
      </c>
      <c r="P335" s="59" t="str">
        <f xml:space="preserve">
IF(OR(ISBLANK(B335),ISBLANK(C335),B335="N/A",ISBLANK('Dados da OS'!$D$8)),"",
   IF(OR('Dados da OS'!$D$8=Parâmetros!$B$3,'Dados da OS'!$D$8=Parâmetros!$B$4),
      IF(OR(AND(B335="INM",N335&lt;&gt;"VF"),AND(N335="VF",B335&lt;&gt;"INM")),"",
        IF(AND(B335="INM",N335="VF"),IF(ISBLANK(H335),"",M335*H335),
        IF('Dados da OS'!$D$8=Parâmetros!$B$4,
           IF(OR(B335="CE",B335="EE"),4,IF(B335="SE",5,IF(B335="ALI",7,IF(B335="AIE",5,"")))),
        IF('Dados da OS'!$D$8=Parâmetros!$B$3,
           IF(OR(ISBLANK(D335),ISBLANK(F335)),"",
              IF(B335="ALI",IF(L335="L",7,IF(L335="A",10,15)),
                 IF(B335="AIE",IF(L335="L",5,IF(L335="A",7,10)),
                    IF(B335="SE",IF(L335="L",4,IF(L335="A",5,7)),
                       IF(OR(B335="EE",B335="CE"),IF(L335="L",3,IF(L335="A",4,6)),""))))))))),
   IF('Dados da OS'!$D$8=Parâmetros!$B$5,
      IF(OR(AND(B335="INM",N335&lt;&gt;"VF"),AND(N335="VF",B335&lt;&gt;"INM")),"",
         IF(B335="INM",IF(N335="VF",M335*H335,""),
            IF(B335="PE",4.6,
            IF(B335="AL",7,"")))),
   IF('Dados da OS'!$D$8=Parâmetros!$B$6,
      IF(B335="ALI",35,IF(B335="AIE",15,"")),""))
    )
)</f>
        <v/>
      </c>
      <c r="Q335" s="60" t="str">
        <f t="shared" si="37"/>
        <v/>
      </c>
      <c r="R335" s="61"/>
      <c r="S335" s="62"/>
      <c r="T335" s="80" t="s">
        <v>21</v>
      </c>
      <c r="U335" s="81"/>
      <c r="V335" s="99"/>
      <c r="W335" s="55"/>
      <c r="X335" s="55"/>
      <c r="Y335" s="56"/>
      <c r="Z335" s="55"/>
      <c r="AA335" s="56"/>
      <c r="AB335" s="55"/>
      <c r="AC335" s="57" t="str">
        <f t="shared" si="38"/>
        <v/>
      </c>
      <c r="AD335" s="57" t="str">
        <f t="shared" si="39"/>
        <v/>
      </c>
      <c r="AE335" s="57" t="str">
        <f xml:space="preserve">
IF(OR('Dados da OS'!$D$8=Parâmetros!$B$3,'Dados da OS'!$D$8=Parâmetros!$B$4),
  IF(OR(ISBLANK(X335),ISBLANK(Z335)),
     IF(OR(V335="ALI",V335="AIE"),"L",IF(ISBLANK(V335),"","A")),
     IF(V335="EE",IF(Z335&gt;=3,IF(X335&gt;=5,"H","A"),
     IF(Z335&gt;=2,IF(X335&gt;=16,"H",IF(X335&lt;=4,"L","A")),IF(X335&lt;=15,"L","A"))),
     IF(OR(V335="SE",V335="CE"),IF(Z335&gt;=4,IF(X335&gt;=6,"H","A"),IF(Z335&gt;=2,IF(X335&gt;=20,"H",IF(X335&lt;=5,"L","A")),IF(X335&lt;=19,"L","A"))),
     IF(OR(V335="ALI",V335="AIE"),IF(Z335&gt;=6,IF(X335&gt;=20,"H","A"),IF(Z335&gt;=2,IF(X335&gt;=51,"H",IF(X335&lt;=19,"L","A")),IF(X335&lt;=50,"L","A"))))))),
IF('Dados da OS'!$D$8=Parâmetros!$B$6,"Indicativa",
IF('Dados da OS'!$D$8=Parâmetros!$B$5,"PFS","")))</f>
        <v/>
      </c>
      <c r="AF335" s="57">
        <f>IFERROR(VLOOKUP(W335,'Fatores de Impacto e INMs'!$A$3:$D$32,3,0),1)</f>
        <v>1</v>
      </c>
      <c r="AG335" s="57">
        <f>IFERROR(VLOOKUP(W335,'Fatores de Impacto e INMs'!$A$3:$E$32,5,0),1)</f>
        <v>1</v>
      </c>
      <c r="AH335" s="82" t="str">
        <f xml:space="preserve">
IF(OR('Dados da OS'!$D$8="Selecione o tipo da contagem",ISBLANK('Dados da OS'!$D$8),V335="INM",V335="N/A",ISBLANK(V335),ISBLANK(W335),AG335="VF"),"-",
   IF('Dados da OS'!$D$8=Parâmetros!$B$3,
      IF(OR(ISBLANK(X335),ISBLANK(Z335)),"-",
         IF(AE335="L","Baixa",IF(AE335="A","Média",IF(AE335="H","Alta","-")))),
      IF('Dados da OS'!$D$8=Parâmetros!$B$4,
         IF(OR(V335="ALI",V335="AIE"),"Baixa",IF(OR(V335="EE",V335="SE",V335="CE"),"Média","-")),
         IF(OR('Dados da OS'!$D$8=Parâmetros!$B$5,'Dados da OS'!$D$8=Parâmetros!$B$6),"-"))))</f>
        <v>-</v>
      </c>
      <c r="AI335" s="83" t="str">
        <f xml:space="preserve">
IF(OR(ISBLANK(V335),ISBLANK(U335),ISBLANK(W335),V335="N/A",ISBLANK('Dados da OS'!$D$8)),"",
   IF(OR('Dados da OS'!$D$8=Parâmetros!$B$3,'Dados da OS'!$D$8=Parâmetros!$B$4),
      IF(OR(AND(V335="INM",AG335&lt;&gt;"VF"),AND(AG335="VF",V335&lt;&gt;"INM")),"",
        IF(AND(V335="INM",AG335="VF"),IF(ISBLANK(AB335),"",AF335*AB335),
        IF('Dados da OS'!$D$8=Parâmetros!$B$4,
           IF(OR(V335="CE",V335="EE"),4,IF(V335="SE",5,IF(V335="ALI",7,IF(V335="AIE",5,"")))),
        IF('Dados da OS'!$D$8=Parâmetros!$B$3,
           IF(OR(ISBLANK(X335),ISBLANK(Z335)),"",
              IF(V335="ALI",IF(AE335="L",7,IF(AE335="A",10,15)),
                 IF(V335="AIE",IF(AE335="L",5,IF(AE335="A",7,10)),
                    IF(V335="SE",IF(AE335="L",4,IF(AE335="A",5,7)),
                       IF(OR(V335="EE",V335="CE"),IF(AE335="L",3,IF(AE335="A",4,6)),""))))))))),
   IF('Dados da OS'!$D$8=Parâmetros!$B$5,
      IF(OR(AND(V335="INM",AG335&lt;&gt;"VF"),AND(AG335="VF",V335&lt;&gt;"INM")),"",
         IF(V335="INM",IF(AG335="VF",AF335*AB335,""),
            IF(V335="PE",4.6,
            IF(V335="AL",7,"")))),
   IF('Dados da OS'!$D$8=Parâmetros!$B$6,
      IF(V335="ALI",35,IF(V335="AIE",15,"")),""))
    )
)</f>
        <v/>
      </c>
      <c r="AJ335" s="82" t="str">
        <f t="shared" si="40"/>
        <v/>
      </c>
      <c r="AK335" s="84"/>
      <c r="AL335" s="85" t="s">
        <v>21</v>
      </c>
      <c r="AM335" s="86"/>
      <c r="AN335" s="85"/>
      <c r="AO335" s="87"/>
      <c r="AP335" s="85"/>
      <c r="AQ335" s="86"/>
      <c r="AR335" s="85"/>
    </row>
    <row r="336" spans="1:44" ht="15.75" customHeight="1">
      <c r="A336" s="54"/>
      <c r="B336" s="100"/>
      <c r="C336" s="55"/>
      <c r="D336" s="55"/>
      <c r="E336" s="56"/>
      <c r="F336" s="55"/>
      <c r="G336" s="56"/>
      <c r="H336" s="55"/>
      <c r="I336" s="64"/>
      <c r="J336" s="57" t="str">
        <f t="shared" si="35"/>
        <v/>
      </c>
      <c r="K336" s="57" t="str">
        <f t="shared" si="36"/>
        <v/>
      </c>
      <c r="L336" s="57" t="str">
        <f xml:space="preserve">
IF(OR('Dados da OS'!$D$8=Parâmetros!$B$3,'Dados da OS'!$D$8=Parâmetros!$B$4),
  IF(OR(ISBLANK(D336),ISBLANK(F336)),
     IF(OR(B336="ALI",B336="AIE"),"L",IF(ISBLANK(B336),"","A")),
     IF(B336="EE",IF(F336&gt;=3,IF(D336&gt;=5,"H","A"),
     IF(F336&gt;=2,IF(D336&gt;=16,"H",IF(D336&lt;=4,"L","A")),IF(D336&lt;=15,"L","A"))),
     IF(OR(B336="SE",B336="CE"),IF(F336&gt;=4,IF(D336&gt;=6,"H","A"),IF(F336&gt;=2,IF(D336&gt;=20,"H",IF(D336&lt;=5,"L","A")),IF(D336&lt;=19,"L","A"))),
     IF(OR(B336="ALI",B336="AIE"),IF(F336&gt;=6,IF(D336&gt;=20,"H","A"),IF(F336&gt;=2,IF(D336&gt;=51,"H",IF(D336&lt;=19,"L","A")),IF(D336&lt;=50,"L","A"))))))),
IF('Dados da OS'!$D$8=Parâmetros!$B$6,"Indicativa",
IF('Dados da OS'!$D$8=Parâmetros!$B$5,"PFS","")))</f>
        <v/>
      </c>
      <c r="M336" s="57">
        <f>IFERROR(VLOOKUP(C336,'Fatores de Impacto e INMs'!$A$3:$D$32,3,0),1)</f>
        <v>1</v>
      </c>
      <c r="N336" s="57">
        <f>IFERROR(VLOOKUP(C336,'Fatores de Impacto e INMs'!$A$3:$E$32,5,0),1)</f>
        <v>1</v>
      </c>
      <c r="O336" s="63" t="str">
        <f xml:space="preserve">
IF(OR('Dados da OS'!$D$8="Selecione o tipo da contagem",ISBLANK('Dados da OS'!$D$8),B336="INM",B336="N/A",ISBLANK(B336),ISBLANK(C336),N336="VF"),"-",
   IF('Dados da OS'!$D$8=Parâmetros!$B$3,
      IF(OR(ISBLANK(D336),ISBLANK(F336)),"-",
         IF(L336="L","Baixa",IF(L336="A","Média",IF(L336="H","Alta","-")))),
      IF('Dados da OS'!$D$8=Parâmetros!$B$4,
         IF(OR(B336="ALI",B336="AIE"),"Baixa",IF(OR(B336="EE",B336="SE",B336="CE"),"Média","-")),
         IF(OR('Dados da OS'!$D$8=Parâmetros!$B$5,'Dados da OS'!$D$8=Parâmetros!$B$6),"-"))))</f>
        <v>-</v>
      </c>
      <c r="P336" s="59" t="str">
        <f xml:space="preserve">
IF(OR(ISBLANK(B336),ISBLANK(C336),B336="N/A",ISBLANK('Dados da OS'!$D$8)),"",
   IF(OR('Dados da OS'!$D$8=Parâmetros!$B$3,'Dados da OS'!$D$8=Parâmetros!$B$4),
      IF(OR(AND(B336="INM",N336&lt;&gt;"VF"),AND(N336="VF",B336&lt;&gt;"INM")),"",
        IF(AND(B336="INM",N336="VF"),IF(ISBLANK(H336),"",M336*H336),
        IF('Dados da OS'!$D$8=Parâmetros!$B$4,
           IF(OR(B336="CE",B336="EE"),4,IF(B336="SE",5,IF(B336="ALI",7,IF(B336="AIE",5,"")))),
        IF('Dados da OS'!$D$8=Parâmetros!$B$3,
           IF(OR(ISBLANK(D336),ISBLANK(F336)),"",
              IF(B336="ALI",IF(L336="L",7,IF(L336="A",10,15)),
                 IF(B336="AIE",IF(L336="L",5,IF(L336="A",7,10)),
                    IF(B336="SE",IF(L336="L",4,IF(L336="A",5,7)),
                       IF(OR(B336="EE",B336="CE"),IF(L336="L",3,IF(L336="A",4,6)),""))))))))),
   IF('Dados da OS'!$D$8=Parâmetros!$B$5,
      IF(OR(AND(B336="INM",N336&lt;&gt;"VF"),AND(N336="VF",B336&lt;&gt;"INM")),"",
         IF(B336="INM",IF(N336="VF",M336*H336,""),
            IF(B336="PE",4.6,
            IF(B336="AL",7,"")))),
   IF('Dados da OS'!$D$8=Parâmetros!$B$6,
      IF(B336="ALI",35,IF(B336="AIE",15,"")),""))
    )
)</f>
        <v/>
      </c>
      <c r="Q336" s="60" t="str">
        <f t="shared" si="37"/>
        <v/>
      </c>
      <c r="R336" s="61"/>
      <c r="S336" s="62"/>
      <c r="T336" s="80" t="s">
        <v>21</v>
      </c>
      <c r="U336" s="81"/>
      <c r="V336" s="99"/>
      <c r="W336" s="55"/>
      <c r="X336" s="55"/>
      <c r="Y336" s="56"/>
      <c r="Z336" s="55"/>
      <c r="AA336" s="56"/>
      <c r="AB336" s="55"/>
      <c r="AC336" s="57" t="str">
        <f t="shared" si="38"/>
        <v/>
      </c>
      <c r="AD336" s="57" t="str">
        <f t="shared" si="39"/>
        <v/>
      </c>
      <c r="AE336" s="57" t="str">
        <f xml:space="preserve">
IF(OR('Dados da OS'!$D$8=Parâmetros!$B$3,'Dados da OS'!$D$8=Parâmetros!$B$4),
  IF(OR(ISBLANK(X336),ISBLANK(Z336)),
     IF(OR(V336="ALI",V336="AIE"),"L",IF(ISBLANK(V336),"","A")),
     IF(V336="EE",IF(Z336&gt;=3,IF(X336&gt;=5,"H","A"),
     IF(Z336&gt;=2,IF(X336&gt;=16,"H",IF(X336&lt;=4,"L","A")),IF(X336&lt;=15,"L","A"))),
     IF(OR(V336="SE",V336="CE"),IF(Z336&gt;=4,IF(X336&gt;=6,"H","A"),IF(Z336&gt;=2,IF(X336&gt;=20,"H",IF(X336&lt;=5,"L","A")),IF(X336&lt;=19,"L","A"))),
     IF(OR(V336="ALI",V336="AIE"),IF(Z336&gt;=6,IF(X336&gt;=20,"H","A"),IF(Z336&gt;=2,IF(X336&gt;=51,"H",IF(X336&lt;=19,"L","A")),IF(X336&lt;=50,"L","A"))))))),
IF('Dados da OS'!$D$8=Parâmetros!$B$6,"Indicativa",
IF('Dados da OS'!$D$8=Parâmetros!$B$5,"PFS","")))</f>
        <v/>
      </c>
      <c r="AF336" s="57">
        <f>IFERROR(VLOOKUP(W336,'Fatores de Impacto e INMs'!$A$3:$D$32,3,0),1)</f>
        <v>1</v>
      </c>
      <c r="AG336" s="57">
        <f>IFERROR(VLOOKUP(W336,'Fatores de Impacto e INMs'!$A$3:$E$32,5,0),1)</f>
        <v>1</v>
      </c>
      <c r="AH336" s="82" t="str">
        <f xml:space="preserve">
IF(OR('Dados da OS'!$D$8="Selecione o tipo da contagem",ISBLANK('Dados da OS'!$D$8),V336="INM",V336="N/A",ISBLANK(V336),ISBLANK(W336),AG336="VF"),"-",
   IF('Dados da OS'!$D$8=Parâmetros!$B$3,
      IF(OR(ISBLANK(X336),ISBLANK(Z336)),"-",
         IF(AE336="L","Baixa",IF(AE336="A","Média",IF(AE336="H","Alta","-")))),
      IF('Dados da OS'!$D$8=Parâmetros!$B$4,
         IF(OR(V336="ALI",V336="AIE"),"Baixa",IF(OR(V336="EE",V336="SE",V336="CE"),"Média","-")),
         IF(OR('Dados da OS'!$D$8=Parâmetros!$B$5,'Dados da OS'!$D$8=Parâmetros!$B$6),"-"))))</f>
        <v>-</v>
      </c>
      <c r="AI336" s="83" t="str">
        <f xml:space="preserve">
IF(OR(ISBLANK(V336),ISBLANK(U336),ISBLANK(W336),V336="N/A",ISBLANK('Dados da OS'!$D$8)),"",
   IF(OR('Dados da OS'!$D$8=Parâmetros!$B$3,'Dados da OS'!$D$8=Parâmetros!$B$4),
      IF(OR(AND(V336="INM",AG336&lt;&gt;"VF"),AND(AG336="VF",V336&lt;&gt;"INM")),"",
        IF(AND(V336="INM",AG336="VF"),IF(ISBLANK(AB336),"",AF336*AB336),
        IF('Dados da OS'!$D$8=Parâmetros!$B$4,
           IF(OR(V336="CE",V336="EE"),4,IF(V336="SE",5,IF(V336="ALI",7,IF(V336="AIE",5,"")))),
        IF('Dados da OS'!$D$8=Parâmetros!$B$3,
           IF(OR(ISBLANK(X336),ISBLANK(Z336)),"",
              IF(V336="ALI",IF(AE336="L",7,IF(AE336="A",10,15)),
                 IF(V336="AIE",IF(AE336="L",5,IF(AE336="A",7,10)),
                    IF(V336="SE",IF(AE336="L",4,IF(AE336="A",5,7)),
                       IF(OR(V336="EE",V336="CE"),IF(AE336="L",3,IF(AE336="A",4,6)),""))))))))),
   IF('Dados da OS'!$D$8=Parâmetros!$B$5,
      IF(OR(AND(V336="INM",AG336&lt;&gt;"VF"),AND(AG336="VF",V336&lt;&gt;"INM")),"",
         IF(V336="INM",IF(AG336="VF",AF336*AB336,""),
            IF(V336="PE",4.6,
            IF(V336="AL",7,"")))),
   IF('Dados da OS'!$D$8=Parâmetros!$B$6,
      IF(V336="ALI",35,IF(V336="AIE",15,"")),""))
    )
)</f>
        <v/>
      </c>
      <c r="AJ336" s="82" t="str">
        <f t="shared" si="40"/>
        <v/>
      </c>
      <c r="AK336" s="84"/>
      <c r="AL336" s="85" t="s">
        <v>21</v>
      </c>
      <c r="AM336" s="86"/>
      <c r="AN336" s="85"/>
      <c r="AO336" s="87"/>
      <c r="AP336" s="85"/>
      <c r="AQ336" s="86"/>
      <c r="AR336" s="85"/>
    </row>
    <row r="337" spans="1:44" ht="15.75" customHeight="1">
      <c r="A337" s="54"/>
      <c r="B337" s="100"/>
      <c r="C337" s="55"/>
      <c r="D337" s="55"/>
      <c r="E337" s="56"/>
      <c r="F337" s="55"/>
      <c r="G337" s="56"/>
      <c r="H337" s="55"/>
      <c r="I337" s="64"/>
      <c r="J337" s="57" t="str">
        <f t="shared" si="35"/>
        <v/>
      </c>
      <c r="K337" s="57" t="str">
        <f t="shared" si="36"/>
        <v/>
      </c>
      <c r="L337" s="57" t="str">
        <f xml:space="preserve">
IF(OR('Dados da OS'!$D$8=Parâmetros!$B$3,'Dados da OS'!$D$8=Parâmetros!$B$4),
  IF(OR(ISBLANK(D337),ISBLANK(F337)),
     IF(OR(B337="ALI",B337="AIE"),"L",IF(ISBLANK(B337),"","A")),
     IF(B337="EE",IF(F337&gt;=3,IF(D337&gt;=5,"H","A"),
     IF(F337&gt;=2,IF(D337&gt;=16,"H",IF(D337&lt;=4,"L","A")),IF(D337&lt;=15,"L","A"))),
     IF(OR(B337="SE",B337="CE"),IF(F337&gt;=4,IF(D337&gt;=6,"H","A"),IF(F337&gt;=2,IF(D337&gt;=20,"H",IF(D337&lt;=5,"L","A")),IF(D337&lt;=19,"L","A"))),
     IF(OR(B337="ALI",B337="AIE"),IF(F337&gt;=6,IF(D337&gt;=20,"H","A"),IF(F337&gt;=2,IF(D337&gt;=51,"H",IF(D337&lt;=19,"L","A")),IF(D337&lt;=50,"L","A"))))))),
IF('Dados da OS'!$D$8=Parâmetros!$B$6,"Indicativa",
IF('Dados da OS'!$D$8=Parâmetros!$B$5,"PFS","")))</f>
        <v/>
      </c>
      <c r="M337" s="57">
        <f>IFERROR(VLOOKUP(C337,'Fatores de Impacto e INMs'!$A$3:$D$32,3,0),1)</f>
        <v>1</v>
      </c>
      <c r="N337" s="57">
        <f>IFERROR(VLOOKUP(C337,'Fatores de Impacto e INMs'!$A$3:$E$32,5,0),1)</f>
        <v>1</v>
      </c>
      <c r="O337" s="63" t="str">
        <f xml:space="preserve">
IF(OR('Dados da OS'!$D$8="Selecione o tipo da contagem",ISBLANK('Dados da OS'!$D$8),B337="INM",B337="N/A",ISBLANK(B337),ISBLANK(C337),N337="VF"),"-",
   IF('Dados da OS'!$D$8=Parâmetros!$B$3,
      IF(OR(ISBLANK(D337),ISBLANK(F337)),"-",
         IF(L337="L","Baixa",IF(L337="A","Média",IF(L337="H","Alta","-")))),
      IF('Dados da OS'!$D$8=Parâmetros!$B$4,
         IF(OR(B337="ALI",B337="AIE"),"Baixa",IF(OR(B337="EE",B337="SE",B337="CE"),"Média","-")),
         IF(OR('Dados da OS'!$D$8=Parâmetros!$B$5,'Dados da OS'!$D$8=Parâmetros!$B$6),"-"))))</f>
        <v>-</v>
      </c>
      <c r="P337" s="59" t="str">
        <f xml:space="preserve">
IF(OR(ISBLANK(B337),ISBLANK(C337),B337="N/A",ISBLANK('Dados da OS'!$D$8)),"",
   IF(OR('Dados da OS'!$D$8=Parâmetros!$B$3,'Dados da OS'!$D$8=Parâmetros!$B$4),
      IF(OR(AND(B337="INM",N337&lt;&gt;"VF"),AND(N337="VF",B337&lt;&gt;"INM")),"",
        IF(AND(B337="INM",N337="VF"),IF(ISBLANK(H337),"",M337*H337),
        IF('Dados da OS'!$D$8=Parâmetros!$B$4,
           IF(OR(B337="CE",B337="EE"),4,IF(B337="SE",5,IF(B337="ALI",7,IF(B337="AIE",5,"")))),
        IF('Dados da OS'!$D$8=Parâmetros!$B$3,
           IF(OR(ISBLANK(D337),ISBLANK(F337)),"",
              IF(B337="ALI",IF(L337="L",7,IF(L337="A",10,15)),
                 IF(B337="AIE",IF(L337="L",5,IF(L337="A",7,10)),
                    IF(B337="SE",IF(L337="L",4,IF(L337="A",5,7)),
                       IF(OR(B337="EE",B337="CE"),IF(L337="L",3,IF(L337="A",4,6)),""))))))))),
   IF('Dados da OS'!$D$8=Parâmetros!$B$5,
      IF(OR(AND(B337="INM",N337&lt;&gt;"VF"),AND(N337="VF",B337&lt;&gt;"INM")),"",
         IF(B337="INM",IF(N337="VF",M337*H337,""),
            IF(B337="PE",4.6,
            IF(B337="AL",7,"")))),
   IF('Dados da OS'!$D$8=Parâmetros!$B$6,
      IF(B337="ALI",35,IF(B337="AIE",15,"")),""))
    )
)</f>
        <v/>
      </c>
      <c r="Q337" s="60" t="str">
        <f t="shared" si="37"/>
        <v/>
      </c>
      <c r="R337" s="61"/>
      <c r="S337" s="62"/>
      <c r="T337" s="80" t="s">
        <v>21</v>
      </c>
      <c r="U337" s="81"/>
      <c r="V337" s="99"/>
      <c r="W337" s="55"/>
      <c r="X337" s="55"/>
      <c r="Y337" s="56"/>
      <c r="Z337" s="55"/>
      <c r="AA337" s="56"/>
      <c r="AB337" s="55"/>
      <c r="AC337" s="57" t="str">
        <f t="shared" si="38"/>
        <v/>
      </c>
      <c r="AD337" s="57" t="str">
        <f t="shared" si="39"/>
        <v/>
      </c>
      <c r="AE337" s="57" t="str">
        <f xml:space="preserve">
IF(OR('Dados da OS'!$D$8=Parâmetros!$B$3,'Dados da OS'!$D$8=Parâmetros!$B$4),
  IF(OR(ISBLANK(X337),ISBLANK(Z337)),
     IF(OR(V337="ALI",V337="AIE"),"L",IF(ISBLANK(V337),"","A")),
     IF(V337="EE",IF(Z337&gt;=3,IF(X337&gt;=5,"H","A"),
     IF(Z337&gt;=2,IF(X337&gt;=16,"H",IF(X337&lt;=4,"L","A")),IF(X337&lt;=15,"L","A"))),
     IF(OR(V337="SE",V337="CE"),IF(Z337&gt;=4,IF(X337&gt;=6,"H","A"),IF(Z337&gt;=2,IF(X337&gt;=20,"H",IF(X337&lt;=5,"L","A")),IF(X337&lt;=19,"L","A"))),
     IF(OR(V337="ALI",V337="AIE"),IF(Z337&gt;=6,IF(X337&gt;=20,"H","A"),IF(Z337&gt;=2,IF(X337&gt;=51,"H",IF(X337&lt;=19,"L","A")),IF(X337&lt;=50,"L","A"))))))),
IF('Dados da OS'!$D$8=Parâmetros!$B$6,"Indicativa",
IF('Dados da OS'!$D$8=Parâmetros!$B$5,"PFS","")))</f>
        <v/>
      </c>
      <c r="AF337" s="57">
        <f>IFERROR(VLOOKUP(W337,'Fatores de Impacto e INMs'!$A$3:$D$32,3,0),1)</f>
        <v>1</v>
      </c>
      <c r="AG337" s="57">
        <f>IFERROR(VLOOKUP(W337,'Fatores de Impacto e INMs'!$A$3:$E$32,5,0),1)</f>
        <v>1</v>
      </c>
      <c r="AH337" s="82" t="str">
        <f xml:space="preserve">
IF(OR('Dados da OS'!$D$8="Selecione o tipo da contagem",ISBLANK('Dados da OS'!$D$8),V337="INM",V337="N/A",ISBLANK(V337),ISBLANK(W337),AG337="VF"),"-",
   IF('Dados da OS'!$D$8=Parâmetros!$B$3,
      IF(OR(ISBLANK(X337),ISBLANK(Z337)),"-",
         IF(AE337="L","Baixa",IF(AE337="A","Média",IF(AE337="H","Alta","-")))),
      IF('Dados da OS'!$D$8=Parâmetros!$B$4,
         IF(OR(V337="ALI",V337="AIE"),"Baixa",IF(OR(V337="EE",V337="SE",V337="CE"),"Média","-")),
         IF(OR('Dados da OS'!$D$8=Parâmetros!$B$5,'Dados da OS'!$D$8=Parâmetros!$B$6),"-"))))</f>
        <v>-</v>
      </c>
      <c r="AI337" s="83" t="str">
        <f xml:space="preserve">
IF(OR(ISBLANK(V337),ISBLANK(U337),ISBLANK(W337),V337="N/A",ISBLANK('Dados da OS'!$D$8)),"",
   IF(OR('Dados da OS'!$D$8=Parâmetros!$B$3,'Dados da OS'!$D$8=Parâmetros!$B$4),
      IF(OR(AND(V337="INM",AG337&lt;&gt;"VF"),AND(AG337="VF",V337&lt;&gt;"INM")),"",
        IF(AND(V337="INM",AG337="VF"),IF(ISBLANK(AB337),"",AF337*AB337),
        IF('Dados da OS'!$D$8=Parâmetros!$B$4,
           IF(OR(V337="CE",V337="EE"),4,IF(V337="SE",5,IF(V337="ALI",7,IF(V337="AIE",5,"")))),
        IF('Dados da OS'!$D$8=Parâmetros!$B$3,
           IF(OR(ISBLANK(X337),ISBLANK(Z337)),"",
              IF(V337="ALI",IF(AE337="L",7,IF(AE337="A",10,15)),
                 IF(V337="AIE",IF(AE337="L",5,IF(AE337="A",7,10)),
                    IF(V337="SE",IF(AE337="L",4,IF(AE337="A",5,7)),
                       IF(OR(V337="EE",V337="CE"),IF(AE337="L",3,IF(AE337="A",4,6)),""))))))))),
   IF('Dados da OS'!$D$8=Parâmetros!$B$5,
      IF(OR(AND(V337="INM",AG337&lt;&gt;"VF"),AND(AG337="VF",V337&lt;&gt;"INM")),"",
         IF(V337="INM",IF(AG337="VF",AF337*AB337,""),
            IF(V337="PE",4.6,
            IF(V337="AL",7,"")))),
   IF('Dados da OS'!$D$8=Parâmetros!$B$6,
      IF(V337="ALI",35,IF(V337="AIE",15,"")),""))
    )
)</f>
        <v/>
      </c>
      <c r="AJ337" s="82" t="str">
        <f t="shared" si="40"/>
        <v/>
      </c>
      <c r="AK337" s="84"/>
      <c r="AL337" s="85" t="s">
        <v>21</v>
      </c>
      <c r="AM337" s="86"/>
      <c r="AN337" s="85"/>
      <c r="AO337" s="87"/>
      <c r="AP337" s="85"/>
      <c r="AQ337" s="86"/>
      <c r="AR337" s="85"/>
    </row>
    <row r="338" spans="1:44" ht="15.75" customHeight="1">
      <c r="A338" s="54"/>
      <c r="B338" s="100"/>
      <c r="C338" s="55"/>
      <c r="D338" s="55"/>
      <c r="E338" s="56"/>
      <c r="F338" s="55"/>
      <c r="G338" s="56"/>
      <c r="H338" s="55"/>
      <c r="I338" s="64"/>
      <c r="J338" s="57" t="str">
        <f t="shared" si="35"/>
        <v/>
      </c>
      <c r="K338" s="57" t="str">
        <f t="shared" si="36"/>
        <v/>
      </c>
      <c r="L338" s="57" t="str">
        <f xml:space="preserve">
IF(OR('Dados da OS'!$D$8=Parâmetros!$B$3,'Dados da OS'!$D$8=Parâmetros!$B$4),
  IF(OR(ISBLANK(D338),ISBLANK(F338)),
     IF(OR(B338="ALI",B338="AIE"),"L",IF(ISBLANK(B338),"","A")),
     IF(B338="EE",IF(F338&gt;=3,IF(D338&gt;=5,"H","A"),
     IF(F338&gt;=2,IF(D338&gt;=16,"H",IF(D338&lt;=4,"L","A")),IF(D338&lt;=15,"L","A"))),
     IF(OR(B338="SE",B338="CE"),IF(F338&gt;=4,IF(D338&gt;=6,"H","A"),IF(F338&gt;=2,IF(D338&gt;=20,"H",IF(D338&lt;=5,"L","A")),IF(D338&lt;=19,"L","A"))),
     IF(OR(B338="ALI",B338="AIE"),IF(F338&gt;=6,IF(D338&gt;=20,"H","A"),IF(F338&gt;=2,IF(D338&gt;=51,"H",IF(D338&lt;=19,"L","A")),IF(D338&lt;=50,"L","A"))))))),
IF('Dados da OS'!$D$8=Parâmetros!$B$6,"Indicativa",
IF('Dados da OS'!$D$8=Parâmetros!$B$5,"PFS","")))</f>
        <v/>
      </c>
      <c r="M338" s="57">
        <f>IFERROR(VLOOKUP(C338,'Fatores de Impacto e INMs'!$A$3:$D$32,3,0),1)</f>
        <v>1</v>
      </c>
      <c r="N338" s="57">
        <f>IFERROR(VLOOKUP(C338,'Fatores de Impacto e INMs'!$A$3:$E$32,5,0),1)</f>
        <v>1</v>
      </c>
      <c r="O338" s="63" t="str">
        <f xml:space="preserve">
IF(OR('Dados da OS'!$D$8="Selecione o tipo da contagem",ISBLANK('Dados da OS'!$D$8),B338="INM",B338="N/A",ISBLANK(B338),ISBLANK(C338),N338="VF"),"-",
   IF('Dados da OS'!$D$8=Parâmetros!$B$3,
      IF(OR(ISBLANK(D338),ISBLANK(F338)),"-",
         IF(L338="L","Baixa",IF(L338="A","Média",IF(L338="H","Alta","-")))),
      IF('Dados da OS'!$D$8=Parâmetros!$B$4,
         IF(OR(B338="ALI",B338="AIE"),"Baixa",IF(OR(B338="EE",B338="SE",B338="CE"),"Média","-")),
         IF(OR('Dados da OS'!$D$8=Parâmetros!$B$5,'Dados da OS'!$D$8=Parâmetros!$B$6),"-"))))</f>
        <v>-</v>
      </c>
      <c r="P338" s="59" t="str">
        <f xml:space="preserve">
IF(OR(ISBLANK(B338),ISBLANK(C338),B338="N/A",ISBLANK('Dados da OS'!$D$8)),"",
   IF(OR('Dados da OS'!$D$8=Parâmetros!$B$3,'Dados da OS'!$D$8=Parâmetros!$B$4),
      IF(OR(AND(B338="INM",N338&lt;&gt;"VF"),AND(N338="VF",B338&lt;&gt;"INM")),"",
        IF(AND(B338="INM",N338="VF"),IF(ISBLANK(H338),"",M338*H338),
        IF('Dados da OS'!$D$8=Parâmetros!$B$4,
           IF(OR(B338="CE",B338="EE"),4,IF(B338="SE",5,IF(B338="ALI",7,IF(B338="AIE",5,"")))),
        IF('Dados da OS'!$D$8=Parâmetros!$B$3,
           IF(OR(ISBLANK(D338),ISBLANK(F338)),"",
              IF(B338="ALI",IF(L338="L",7,IF(L338="A",10,15)),
                 IF(B338="AIE",IF(L338="L",5,IF(L338="A",7,10)),
                    IF(B338="SE",IF(L338="L",4,IF(L338="A",5,7)),
                       IF(OR(B338="EE",B338="CE"),IF(L338="L",3,IF(L338="A",4,6)),""))))))))),
   IF('Dados da OS'!$D$8=Parâmetros!$B$5,
      IF(OR(AND(B338="INM",N338&lt;&gt;"VF"),AND(N338="VF",B338&lt;&gt;"INM")),"",
         IF(B338="INM",IF(N338="VF",M338*H338,""),
            IF(B338="PE",4.6,
            IF(B338="AL",7,"")))),
   IF('Dados da OS'!$D$8=Parâmetros!$B$6,
      IF(B338="ALI",35,IF(B338="AIE",15,"")),""))
    )
)</f>
        <v/>
      </c>
      <c r="Q338" s="60" t="str">
        <f t="shared" si="37"/>
        <v/>
      </c>
      <c r="R338" s="61"/>
      <c r="S338" s="62"/>
      <c r="T338" s="80" t="s">
        <v>21</v>
      </c>
      <c r="U338" s="81"/>
      <c r="V338" s="99"/>
      <c r="W338" s="55"/>
      <c r="X338" s="55"/>
      <c r="Y338" s="56"/>
      <c r="Z338" s="55"/>
      <c r="AA338" s="56"/>
      <c r="AB338" s="55"/>
      <c r="AC338" s="57" t="str">
        <f t="shared" si="38"/>
        <v/>
      </c>
      <c r="AD338" s="57" t="str">
        <f t="shared" si="39"/>
        <v/>
      </c>
      <c r="AE338" s="57" t="str">
        <f xml:space="preserve">
IF(OR('Dados da OS'!$D$8=Parâmetros!$B$3,'Dados da OS'!$D$8=Parâmetros!$B$4),
  IF(OR(ISBLANK(X338),ISBLANK(Z338)),
     IF(OR(V338="ALI",V338="AIE"),"L",IF(ISBLANK(V338),"","A")),
     IF(V338="EE",IF(Z338&gt;=3,IF(X338&gt;=5,"H","A"),
     IF(Z338&gt;=2,IF(X338&gt;=16,"H",IF(X338&lt;=4,"L","A")),IF(X338&lt;=15,"L","A"))),
     IF(OR(V338="SE",V338="CE"),IF(Z338&gt;=4,IF(X338&gt;=6,"H","A"),IF(Z338&gt;=2,IF(X338&gt;=20,"H",IF(X338&lt;=5,"L","A")),IF(X338&lt;=19,"L","A"))),
     IF(OR(V338="ALI",V338="AIE"),IF(Z338&gt;=6,IF(X338&gt;=20,"H","A"),IF(Z338&gt;=2,IF(X338&gt;=51,"H",IF(X338&lt;=19,"L","A")),IF(X338&lt;=50,"L","A"))))))),
IF('Dados da OS'!$D$8=Parâmetros!$B$6,"Indicativa",
IF('Dados da OS'!$D$8=Parâmetros!$B$5,"PFS","")))</f>
        <v/>
      </c>
      <c r="AF338" s="57">
        <f>IFERROR(VLOOKUP(W338,'Fatores de Impacto e INMs'!$A$3:$D$32,3,0),1)</f>
        <v>1</v>
      </c>
      <c r="AG338" s="57">
        <f>IFERROR(VLOOKUP(W338,'Fatores de Impacto e INMs'!$A$3:$E$32,5,0),1)</f>
        <v>1</v>
      </c>
      <c r="AH338" s="82" t="str">
        <f xml:space="preserve">
IF(OR('Dados da OS'!$D$8="Selecione o tipo da contagem",ISBLANK('Dados da OS'!$D$8),V338="INM",V338="N/A",ISBLANK(V338),ISBLANK(W338),AG338="VF"),"-",
   IF('Dados da OS'!$D$8=Parâmetros!$B$3,
      IF(OR(ISBLANK(X338),ISBLANK(Z338)),"-",
         IF(AE338="L","Baixa",IF(AE338="A","Média",IF(AE338="H","Alta","-")))),
      IF('Dados da OS'!$D$8=Parâmetros!$B$4,
         IF(OR(V338="ALI",V338="AIE"),"Baixa",IF(OR(V338="EE",V338="SE",V338="CE"),"Média","-")),
         IF(OR('Dados da OS'!$D$8=Parâmetros!$B$5,'Dados da OS'!$D$8=Parâmetros!$B$6),"-"))))</f>
        <v>-</v>
      </c>
      <c r="AI338" s="83" t="str">
        <f xml:space="preserve">
IF(OR(ISBLANK(V338),ISBLANK(U338),ISBLANK(W338),V338="N/A",ISBLANK('Dados da OS'!$D$8)),"",
   IF(OR('Dados da OS'!$D$8=Parâmetros!$B$3,'Dados da OS'!$D$8=Parâmetros!$B$4),
      IF(OR(AND(V338="INM",AG338&lt;&gt;"VF"),AND(AG338="VF",V338&lt;&gt;"INM")),"",
        IF(AND(V338="INM",AG338="VF"),IF(ISBLANK(AB338),"",AF338*AB338),
        IF('Dados da OS'!$D$8=Parâmetros!$B$4,
           IF(OR(V338="CE",V338="EE"),4,IF(V338="SE",5,IF(V338="ALI",7,IF(V338="AIE",5,"")))),
        IF('Dados da OS'!$D$8=Parâmetros!$B$3,
           IF(OR(ISBLANK(X338),ISBLANK(Z338)),"",
              IF(V338="ALI",IF(AE338="L",7,IF(AE338="A",10,15)),
                 IF(V338="AIE",IF(AE338="L",5,IF(AE338="A",7,10)),
                    IF(V338="SE",IF(AE338="L",4,IF(AE338="A",5,7)),
                       IF(OR(V338="EE",V338="CE"),IF(AE338="L",3,IF(AE338="A",4,6)),""))))))))),
   IF('Dados da OS'!$D$8=Parâmetros!$B$5,
      IF(OR(AND(V338="INM",AG338&lt;&gt;"VF"),AND(AG338="VF",V338&lt;&gt;"INM")),"",
         IF(V338="INM",IF(AG338="VF",AF338*AB338,""),
            IF(V338="PE",4.6,
            IF(V338="AL",7,"")))),
   IF('Dados da OS'!$D$8=Parâmetros!$B$6,
      IF(V338="ALI",35,IF(V338="AIE",15,"")),""))
    )
)</f>
        <v/>
      </c>
      <c r="AJ338" s="82" t="str">
        <f t="shared" si="40"/>
        <v/>
      </c>
      <c r="AK338" s="84"/>
      <c r="AL338" s="85" t="s">
        <v>21</v>
      </c>
      <c r="AM338" s="86"/>
      <c r="AN338" s="85"/>
      <c r="AO338" s="87"/>
      <c r="AP338" s="85"/>
      <c r="AQ338" s="86"/>
      <c r="AR338" s="85"/>
    </row>
    <row r="339" spans="1:44" ht="15.75" customHeight="1">
      <c r="A339" s="54"/>
      <c r="B339" s="100"/>
      <c r="C339" s="55"/>
      <c r="D339" s="55"/>
      <c r="E339" s="56"/>
      <c r="F339" s="55"/>
      <c r="G339" s="56"/>
      <c r="H339" s="55"/>
      <c r="I339" s="64"/>
      <c r="J339" s="57" t="str">
        <f t="shared" si="35"/>
        <v/>
      </c>
      <c r="K339" s="57" t="str">
        <f t="shared" si="36"/>
        <v/>
      </c>
      <c r="L339" s="57" t="str">
        <f xml:space="preserve">
IF(OR('Dados da OS'!$D$8=Parâmetros!$B$3,'Dados da OS'!$D$8=Parâmetros!$B$4),
  IF(OR(ISBLANK(D339),ISBLANK(F339)),
     IF(OR(B339="ALI",B339="AIE"),"L",IF(ISBLANK(B339),"","A")),
     IF(B339="EE",IF(F339&gt;=3,IF(D339&gt;=5,"H","A"),
     IF(F339&gt;=2,IF(D339&gt;=16,"H",IF(D339&lt;=4,"L","A")),IF(D339&lt;=15,"L","A"))),
     IF(OR(B339="SE",B339="CE"),IF(F339&gt;=4,IF(D339&gt;=6,"H","A"),IF(F339&gt;=2,IF(D339&gt;=20,"H",IF(D339&lt;=5,"L","A")),IF(D339&lt;=19,"L","A"))),
     IF(OR(B339="ALI",B339="AIE"),IF(F339&gt;=6,IF(D339&gt;=20,"H","A"),IF(F339&gt;=2,IF(D339&gt;=51,"H",IF(D339&lt;=19,"L","A")),IF(D339&lt;=50,"L","A"))))))),
IF('Dados da OS'!$D$8=Parâmetros!$B$6,"Indicativa",
IF('Dados da OS'!$D$8=Parâmetros!$B$5,"PFS","")))</f>
        <v/>
      </c>
      <c r="M339" s="57">
        <f>IFERROR(VLOOKUP(C339,'Fatores de Impacto e INMs'!$A$3:$D$32,3,0),1)</f>
        <v>1</v>
      </c>
      <c r="N339" s="57">
        <f>IFERROR(VLOOKUP(C339,'Fatores de Impacto e INMs'!$A$3:$E$32,5,0),1)</f>
        <v>1</v>
      </c>
      <c r="O339" s="63" t="str">
        <f xml:space="preserve">
IF(OR('Dados da OS'!$D$8="Selecione o tipo da contagem",ISBLANK('Dados da OS'!$D$8),B339="INM",B339="N/A",ISBLANK(B339),ISBLANK(C339),N339="VF"),"-",
   IF('Dados da OS'!$D$8=Parâmetros!$B$3,
      IF(OR(ISBLANK(D339),ISBLANK(F339)),"-",
         IF(L339="L","Baixa",IF(L339="A","Média",IF(L339="H","Alta","-")))),
      IF('Dados da OS'!$D$8=Parâmetros!$B$4,
         IF(OR(B339="ALI",B339="AIE"),"Baixa",IF(OR(B339="EE",B339="SE",B339="CE"),"Média","-")),
         IF(OR('Dados da OS'!$D$8=Parâmetros!$B$5,'Dados da OS'!$D$8=Parâmetros!$B$6),"-"))))</f>
        <v>-</v>
      </c>
      <c r="P339" s="59" t="str">
        <f xml:space="preserve">
IF(OR(ISBLANK(B339),ISBLANK(C339),B339="N/A",ISBLANK('Dados da OS'!$D$8)),"",
   IF(OR('Dados da OS'!$D$8=Parâmetros!$B$3,'Dados da OS'!$D$8=Parâmetros!$B$4),
      IF(OR(AND(B339="INM",N339&lt;&gt;"VF"),AND(N339="VF",B339&lt;&gt;"INM")),"",
        IF(AND(B339="INM",N339="VF"),IF(ISBLANK(H339),"",M339*H339),
        IF('Dados da OS'!$D$8=Parâmetros!$B$4,
           IF(OR(B339="CE",B339="EE"),4,IF(B339="SE",5,IF(B339="ALI",7,IF(B339="AIE",5,"")))),
        IF('Dados da OS'!$D$8=Parâmetros!$B$3,
           IF(OR(ISBLANK(D339),ISBLANK(F339)),"",
              IF(B339="ALI",IF(L339="L",7,IF(L339="A",10,15)),
                 IF(B339="AIE",IF(L339="L",5,IF(L339="A",7,10)),
                    IF(B339="SE",IF(L339="L",4,IF(L339="A",5,7)),
                       IF(OR(B339="EE",B339="CE"),IF(L339="L",3,IF(L339="A",4,6)),""))))))))),
   IF('Dados da OS'!$D$8=Parâmetros!$B$5,
      IF(OR(AND(B339="INM",N339&lt;&gt;"VF"),AND(N339="VF",B339&lt;&gt;"INM")),"",
         IF(B339="INM",IF(N339="VF",M339*H339,""),
            IF(B339="PE",4.6,
            IF(B339="AL",7,"")))),
   IF('Dados da OS'!$D$8=Parâmetros!$B$6,
      IF(B339="ALI",35,IF(B339="AIE",15,"")),""))
    )
)</f>
        <v/>
      </c>
      <c r="Q339" s="60" t="str">
        <f t="shared" si="37"/>
        <v/>
      </c>
      <c r="R339" s="61"/>
      <c r="S339" s="62"/>
      <c r="T339" s="80" t="s">
        <v>21</v>
      </c>
      <c r="U339" s="81"/>
      <c r="V339" s="99"/>
      <c r="W339" s="55"/>
      <c r="X339" s="55"/>
      <c r="Y339" s="56"/>
      <c r="Z339" s="55"/>
      <c r="AA339" s="56"/>
      <c r="AB339" s="55"/>
      <c r="AC339" s="57" t="str">
        <f t="shared" si="38"/>
        <v/>
      </c>
      <c r="AD339" s="57" t="str">
        <f t="shared" si="39"/>
        <v/>
      </c>
      <c r="AE339" s="57" t="str">
        <f xml:space="preserve">
IF(OR('Dados da OS'!$D$8=Parâmetros!$B$3,'Dados da OS'!$D$8=Parâmetros!$B$4),
  IF(OR(ISBLANK(X339),ISBLANK(Z339)),
     IF(OR(V339="ALI",V339="AIE"),"L",IF(ISBLANK(V339),"","A")),
     IF(V339="EE",IF(Z339&gt;=3,IF(X339&gt;=5,"H","A"),
     IF(Z339&gt;=2,IF(X339&gt;=16,"H",IF(X339&lt;=4,"L","A")),IF(X339&lt;=15,"L","A"))),
     IF(OR(V339="SE",V339="CE"),IF(Z339&gt;=4,IF(X339&gt;=6,"H","A"),IF(Z339&gt;=2,IF(X339&gt;=20,"H",IF(X339&lt;=5,"L","A")),IF(X339&lt;=19,"L","A"))),
     IF(OR(V339="ALI",V339="AIE"),IF(Z339&gt;=6,IF(X339&gt;=20,"H","A"),IF(Z339&gt;=2,IF(X339&gt;=51,"H",IF(X339&lt;=19,"L","A")),IF(X339&lt;=50,"L","A"))))))),
IF('Dados da OS'!$D$8=Parâmetros!$B$6,"Indicativa",
IF('Dados da OS'!$D$8=Parâmetros!$B$5,"PFS","")))</f>
        <v/>
      </c>
      <c r="AF339" s="57">
        <f>IFERROR(VLOOKUP(W339,'Fatores de Impacto e INMs'!$A$3:$D$32,3,0),1)</f>
        <v>1</v>
      </c>
      <c r="AG339" s="57">
        <f>IFERROR(VLOOKUP(W339,'Fatores de Impacto e INMs'!$A$3:$E$32,5,0),1)</f>
        <v>1</v>
      </c>
      <c r="AH339" s="82" t="str">
        <f xml:space="preserve">
IF(OR('Dados da OS'!$D$8="Selecione o tipo da contagem",ISBLANK('Dados da OS'!$D$8),V339="INM",V339="N/A",ISBLANK(V339),ISBLANK(W339),AG339="VF"),"-",
   IF('Dados da OS'!$D$8=Parâmetros!$B$3,
      IF(OR(ISBLANK(X339),ISBLANK(Z339)),"-",
         IF(AE339="L","Baixa",IF(AE339="A","Média",IF(AE339="H","Alta","-")))),
      IF('Dados da OS'!$D$8=Parâmetros!$B$4,
         IF(OR(V339="ALI",V339="AIE"),"Baixa",IF(OR(V339="EE",V339="SE",V339="CE"),"Média","-")),
         IF(OR('Dados da OS'!$D$8=Parâmetros!$B$5,'Dados da OS'!$D$8=Parâmetros!$B$6),"-"))))</f>
        <v>-</v>
      </c>
      <c r="AI339" s="83" t="str">
        <f xml:space="preserve">
IF(OR(ISBLANK(V339),ISBLANK(U339),ISBLANK(W339),V339="N/A",ISBLANK('Dados da OS'!$D$8)),"",
   IF(OR('Dados da OS'!$D$8=Parâmetros!$B$3,'Dados da OS'!$D$8=Parâmetros!$B$4),
      IF(OR(AND(V339="INM",AG339&lt;&gt;"VF"),AND(AG339="VF",V339&lt;&gt;"INM")),"",
        IF(AND(V339="INM",AG339="VF"),IF(ISBLANK(AB339),"",AF339*AB339),
        IF('Dados da OS'!$D$8=Parâmetros!$B$4,
           IF(OR(V339="CE",V339="EE"),4,IF(V339="SE",5,IF(V339="ALI",7,IF(V339="AIE",5,"")))),
        IF('Dados da OS'!$D$8=Parâmetros!$B$3,
           IF(OR(ISBLANK(X339),ISBLANK(Z339)),"",
              IF(V339="ALI",IF(AE339="L",7,IF(AE339="A",10,15)),
                 IF(V339="AIE",IF(AE339="L",5,IF(AE339="A",7,10)),
                    IF(V339="SE",IF(AE339="L",4,IF(AE339="A",5,7)),
                       IF(OR(V339="EE",V339="CE"),IF(AE339="L",3,IF(AE339="A",4,6)),""))))))))),
   IF('Dados da OS'!$D$8=Parâmetros!$B$5,
      IF(OR(AND(V339="INM",AG339&lt;&gt;"VF"),AND(AG339="VF",V339&lt;&gt;"INM")),"",
         IF(V339="INM",IF(AG339="VF",AF339*AB339,""),
            IF(V339="PE",4.6,
            IF(V339="AL",7,"")))),
   IF('Dados da OS'!$D$8=Parâmetros!$B$6,
      IF(V339="ALI",35,IF(V339="AIE",15,"")),""))
    )
)</f>
        <v/>
      </c>
      <c r="AJ339" s="82" t="str">
        <f t="shared" si="40"/>
        <v/>
      </c>
      <c r="AK339" s="84"/>
      <c r="AL339" s="85" t="s">
        <v>21</v>
      </c>
      <c r="AM339" s="86"/>
      <c r="AN339" s="85"/>
      <c r="AO339" s="87"/>
      <c r="AP339" s="85"/>
      <c r="AQ339" s="86"/>
      <c r="AR339" s="85"/>
    </row>
    <row r="340" spans="1:44" ht="15.75" customHeight="1">
      <c r="A340" s="54"/>
      <c r="B340" s="100"/>
      <c r="C340" s="55"/>
      <c r="D340" s="55"/>
      <c r="E340" s="56"/>
      <c r="F340" s="55"/>
      <c r="G340" s="56"/>
      <c r="H340" s="55"/>
      <c r="I340" s="64"/>
      <c r="J340" s="57" t="str">
        <f t="shared" si="35"/>
        <v/>
      </c>
      <c r="K340" s="57" t="str">
        <f t="shared" si="36"/>
        <v/>
      </c>
      <c r="L340" s="57" t="str">
        <f xml:space="preserve">
IF(OR('Dados da OS'!$D$8=Parâmetros!$B$3,'Dados da OS'!$D$8=Parâmetros!$B$4),
  IF(OR(ISBLANK(D340),ISBLANK(F340)),
     IF(OR(B340="ALI",B340="AIE"),"L",IF(ISBLANK(B340),"","A")),
     IF(B340="EE",IF(F340&gt;=3,IF(D340&gt;=5,"H","A"),
     IF(F340&gt;=2,IF(D340&gt;=16,"H",IF(D340&lt;=4,"L","A")),IF(D340&lt;=15,"L","A"))),
     IF(OR(B340="SE",B340="CE"),IF(F340&gt;=4,IF(D340&gt;=6,"H","A"),IF(F340&gt;=2,IF(D340&gt;=20,"H",IF(D340&lt;=5,"L","A")),IF(D340&lt;=19,"L","A"))),
     IF(OR(B340="ALI",B340="AIE"),IF(F340&gt;=6,IF(D340&gt;=20,"H","A"),IF(F340&gt;=2,IF(D340&gt;=51,"H",IF(D340&lt;=19,"L","A")),IF(D340&lt;=50,"L","A"))))))),
IF('Dados da OS'!$D$8=Parâmetros!$B$6,"Indicativa",
IF('Dados da OS'!$D$8=Parâmetros!$B$5,"PFS","")))</f>
        <v/>
      </c>
      <c r="M340" s="57">
        <f>IFERROR(VLOOKUP(C340,'Fatores de Impacto e INMs'!$A$3:$D$32,3,0),1)</f>
        <v>1</v>
      </c>
      <c r="N340" s="57">
        <f>IFERROR(VLOOKUP(C340,'Fatores de Impacto e INMs'!$A$3:$E$32,5,0),1)</f>
        <v>1</v>
      </c>
      <c r="O340" s="63" t="str">
        <f xml:space="preserve">
IF(OR('Dados da OS'!$D$8="Selecione o tipo da contagem",ISBLANK('Dados da OS'!$D$8),B340="INM",B340="N/A",ISBLANK(B340),ISBLANK(C340),N340="VF"),"-",
   IF('Dados da OS'!$D$8=Parâmetros!$B$3,
      IF(OR(ISBLANK(D340),ISBLANK(F340)),"-",
         IF(L340="L","Baixa",IF(L340="A","Média",IF(L340="H","Alta","-")))),
      IF('Dados da OS'!$D$8=Parâmetros!$B$4,
         IF(OR(B340="ALI",B340="AIE"),"Baixa",IF(OR(B340="EE",B340="SE",B340="CE"),"Média","-")),
         IF(OR('Dados da OS'!$D$8=Parâmetros!$B$5,'Dados da OS'!$D$8=Parâmetros!$B$6),"-"))))</f>
        <v>-</v>
      </c>
      <c r="P340" s="59" t="str">
        <f xml:space="preserve">
IF(OR(ISBLANK(B340),ISBLANK(C340),B340="N/A",ISBLANK('Dados da OS'!$D$8)),"",
   IF(OR('Dados da OS'!$D$8=Parâmetros!$B$3,'Dados da OS'!$D$8=Parâmetros!$B$4),
      IF(OR(AND(B340="INM",N340&lt;&gt;"VF"),AND(N340="VF",B340&lt;&gt;"INM")),"",
        IF(AND(B340="INM",N340="VF"),IF(ISBLANK(H340),"",M340*H340),
        IF('Dados da OS'!$D$8=Parâmetros!$B$4,
           IF(OR(B340="CE",B340="EE"),4,IF(B340="SE",5,IF(B340="ALI",7,IF(B340="AIE",5,"")))),
        IF('Dados da OS'!$D$8=Parâmetros!$B$3,
           IF(OR(ISBLANK(D340),ISBLANK(F340)),"",
              IF(B340="ALI",IF(L340="L",7,IF(L340="A",10,15)),
                 IF(B340="AIE",IF(L340="L",5,IF(L340="A",7,10)),
                    IF(B340="SE",IF(L340="L",4,IF(L340="A",5,7)),
                       IF(OR(B340="EE",B340="CE"),IF(L340="L",3,IF(L340="A",4,6)),""))))))))),
   IF('Dados da OS'!$D$8=Parâmetros!$B$5,
      IF(OR(AND(B340="INM",N340&lt;&gt;"VF"),AND(N340="VF",B340&lt;&gt;"INM")),"",
         IF(B340="INM",IF(N340="VF",M340*H340,""),
            IF(B340="PE",4.6,
            IF(B340="AL",7,"")))),
   IF('Dados da OS'!$D$8=Parâmetros!$B$6,
      IF(B340="ALI",35,IF(B340="AIE",15,"")),""))
    )
)</f>
        <v/>
      </c>
      <c r="Q340" s="60" t="str">
        <f t="shared" si="37"/>
        <v/>
      </c>
      <c r="R340" s="61"/>
      <c r="S340" s="62"/>
      <c r="T340" s="80" t="s">
        <v>21</v>
      </c>
      <c r="U340" s="81"/>
      <c r="V340" s="99"/>
      <c r="W340" s="55"/>
      <c r="X340" s="55"/>
      <c r="Y340" s="56"/>
      <c r="Z340" s="55"/>
      <c r="AA340" s="56"/>
      <c r="AB340" s="55"/>
      <c r="AC340" s="57" t="str">
        <f t="shared" si="38"/>
        <v/>
      </c>
      <c r="AD340" s="57" t="str">
        <f t="shared" si="39"/>
        <v/>
      </c>
      <c r="AE340" s="57" t="str">
        <f xml:space="preserve">
IF(OR('Dados da OS'!$D$8=Parâmetros!$B$3,'Dados da OS'!$D$8=Parâmetros!$B$4),
  IF(OR(ISBLANK(X340),ISBLANK(Z340)),
     IF(OR(V340="ALI",V340="AIE"),"L",IF(ISBLANK(V340),"","A")),
     IF(V340="EE",IF(Z340&gt;=3,IF(X340&gt;=5,"H","A"),
     IF(Z340&gt;=2,IF(X340&gt;=16,"H",IF(X340&lt;=4,"L","A")),IF(X340&lt;=15,"L","A"))),
     IF(OR(V340="SE",V340="CE"),IF(Z340&gt;=4,IF(X340&gt;=6,"H","A"),IF(Z340&gt;=2,IF(X340&gt;=20,"H",IF(X340&lt;=5,"L","A")),IF(X340&lt;=19,"L","A"))),
     IF(OR(V340="ALI",V340="AIE"),IF(Z340&gt;=6,IF(X340&gt;=20,"H","A"),IF(Z340&gt;=2,IF(X340&gt;=51,"H",IF(X340&lt;=19,"L","A")),IF(X340&lt;=50,"L","A"))))))),
IF('Dados da OS'!$D$8=Parâmetros!$B$6,"Indicativa",
IF('Dados da OS'!$D$8=Parâmetros!$B$5,"PFS","")))</f>
        <v/>
      </c>
      <c r="AF340" s="57">
        <f>IFERROR(VLOOKUP(W340,'Fatores de Impacto e INMs'!$A$3:$D$32,3,0),1)</f>
        <v>1</v>
      </c>
      <c r="AG340" s="57">
        <f>IFERROR(VLOOKUP(W340,'Fatores de Impacto e INMs'!$A$3:$E$32,5,0),1)</f>
        <v>1</v>
      </c>
      <c r="AH340" s="82" t="str">
        <f xml:space="preserve">
IF(OR('Dados da OS'!$D$8="Selecione o tipo da contagem",ISBLANK('Dados da OS'!$D$8),V340="INM",V340="N/A",ISBLANK(V340),ISBLANK(W340),AG340="VF"),"-",
   IF('Dados da OS'!$D$8=Parâmetros!$B$3,
      IF(OR(ISBLANK(X340),ISBLANK(Z340)),"-",
         IF(AE340="L","Baixa",IF(AE340="A","Média",IF(AE340="H","Alta","-")))),
      IF('Dados da OS'!$D$8=Parâmetros!$B$4,
         IF(OR(V340="ALI",V340="AIE"),"Baixa",IF(OR(V340="EE",V340="SE",V340="CE"),"Média","-")),
         IF(OR('Dados da OS'!$D$8=Parâmetros!$B$5,'Dados da OS'!$D$8=Parâmetros!$B$6),"-"))))</f>
        <v>-</v>
      </c>
      <c r="AI340" s="83" t="str">
        <f xml:space="preserve">
IF(OR(ISBLANK(V340),ISBLANK(U340),ISBLANK(W340),V340="N/A",ISBLANK('Dados da OS'!$D$8)),"",
   IF(OR('Dados da OS'!$D$8=Parâmetros!$B$3,'Dados da OS'!$D$8=Parâmetros!$B$4),
      IF(OR(AND(V340="INM",AG340&lt;&gt;"VF"),AND(AG340="VF",V340&lt;&gt;"INM")),"",
        IF(AND(V340="INM",AG340="VF"),IF(ISBLANK(AB340),"",AF340*AB340),
        IF('Dados da OS'!$D$8=Parâmetros!$B$4,
           IF(OR(V340="CE",V340="EE"),4,IF(V340="SE",5,IF(V340="ALI",7,IF(V340="AIE",5,"")))),
        IF('Dados da OS'!$D$8=Parâmetros!$B$3,
           IF(OR(ISBLANK(X340),ISBLANK(Z340)),"",
              IF(V340="ALI",IF(AE340="L",7,IF(AE340="A",10,15)),
                 IF(V340="AIE",IF(AE340="L",5,IF(AE340="A",7,10)),
                    IF(V340="SE",IF(AE340="L",4,IF(AE340="A",5,7)),
                       IF(OR(V340="EE",V340="CE"),IF(AE340="L",3,IF(AE340="A",4,6)),""))))))))),
   IF('Dados da OS'!$D$8=Parâmetros!$B$5,
      IF(OR(AND(V340="INM",AG340&lt;&gt;"VF"),AND(AG340="VF",V340&lt;&gt;"INM")),"",
         IF(V340="INM",IF(AG340="VF",AF340*AB340,""),
            IF(V340="PE",4.6,
            IF(V340="AL",7,"")))),
   IF('Dados da OS'!$D$8=Parâmetros!$B$6,
      IF(V340="ALI",35,IF(V340="AIE",15,"")),""))
    )
)</f>
        <v/>
      </c>
      <c r="AJ340" s="82" t="str">
        <f t="shared" si="40"/>
        <v/>
      </c>
      <c r="AK340" s="84"/>
      <c r="AL340" s="85" t="s">
        <v>21</v>
      </c>
      <c r="AM340" s="86"/>
      <c r="AN340" s="85"/>
      <c r="AO340" s="87"/>
      <c r="AP340" s="85"/>
      <c r="AQ340" s="86"/>
      <c r="AR340" s="85"/>
    </row>
    <row r="341" spans="1:44" ht="15.75" customHeight="1">
      <c r="A341" s="54"/>
      <c r="B341" s="100"/>
      <c r="C341" s="55"/>
      <c r="D341" s="55"/>
      <c r="E341" s="56"/>
      <c r="F341" s="55"/>
      <c r="G341" s="56"/>
      <c r="H341" s="55"/>
      <c r="I341" s="64"/>
      <c r="J341" s="57" t="str">
        <f t="shared" si="35"/>
        <v/>
      </c>
      <c r="K341" s="57" t="str">
        <f t="shared" si="36"/>
        <v/>
      </c>
      <c r="L341" s="57" t="str">
        <f xml:space="preserve">
IF(OR('Dados da OS'!$D$8=Parâmetros!$B$3,'Dados da OS'!$D$8=Parâmetros!$B$4),
  IF(OR(ISBLANK(D341),ISBLANK(F341)),
     IF(OR(B341="ALI",B341="AIE"),"L",IF(ISBLANK(B341),"","A")),
     IF(B341="EE",IF(F341&gt;=3,IF(D341&gt;=5,"H","A"),
     IF(F341&gt;=2,IF(D341&gt;=16,"H",IF(D341&lt;=4,"L","A")),IF(D341&lt;=15,"L","A"))),
     IF(OR(B341="SE",B341="CE"),IF(F341&gt;=4,IF(D341&gt;=6,"H","A"),IF(F341&gt;=2,IF(D341&gt;=20,"H",IF(D341&lt;=5,"L","A")),IF(D341&lt;=19,"L","A"))),
     IF(OR(B341="ALI",B341="AIE"),IF(F341&gt;=6,IF(D341&gt;=20,"H","A"),IF(F341&gt;=2,IF(D341&gt;=51,"H",IF(D341&lt;=19,"L","A")),IF(D341&lt;=50,"L","A"))))))),
IF('Dados da OS'!$D$8=Parâmetros!$B$6,"Indicativa",
IF('Dados da OS'!$D$8=Parâmetros!$B$5,"PFS","")))</f>
        <v/>
      </c>
      <c r="M341" s="57">
        <f>IFERROR(VLOOKUP(C341,'Fatores de Impacto e INMs'!$A$3:$D$32,3,0),1)</f>
        <v>1</v>
      </c>
      <c r="N341" s="57">
        <f>IFERROR(VLOOKUP(C341,'Fatores de Impacto e INMs'!$A$3:$E$32,5,0),1)</f>
        <v>1</v>
      </c>
      <c r="O341" s="63" t="str">
        <f xml:space="preserve">
IF(OR('Dados da OS'!$D$8="Selecione o tipo da contagem",ISBLANK('Dados da OS'!$D$8),B341="INM",B341="N/A",ISBLANK(B341),ISBLANK(C341),N341="VF"),"-",
   IF('Dados da OS'!$D$8=Parâmetros!$B$3,
      IF(OR(ISBLANK(D341),ISBLANK(F341)),"-",
         IF(L341="L","Baixa",IF(L341="A","Média",IF(L341="H","Alta","-")))),
      IF('Dados da OS'!$D$8=Parâmetros!$B$4,
         IF(OR(B341="ALI",B341="AIE"),"Baixa",IF(OR(B341="EE",B341="SE",B341="CE"),"Média","-")),
         IF(OR('Dados da OS'!$D$8=Parâmetros!$B$5,'Dados da OS'!$D$8=Parâmetros!$B$6),"-"))))</f>
        <v>-</v>
      </c>
      <c r="P341" s="59" t="str">
        <f xml:space="preserve">
IF(OR(ISBLANK(B341),ISBLANK(C341),B341="N/A",ISBLANK('Dados da OS'!$D$8)),"",
   IF(OR('Dados da OS'!$D$8=Parâmetros!$B$3,'Dados da OS'!$D$8=Parâmetros!$B$4),
      IF(OR(AND(B341="INM",N341&lt;&gt;"VF"),AND(N341="VF",B341&lt;&gt;"INM")),"",
        IF(AND(B341="INM",N341="VF"),IF(ISBLANK(H341),"",M341*H341),
        IF('Dados da OS'!$D$8=Parâmetros!$B$4,
           IF(OR(B341="CE",B341="EE"),4,IF(B341="SE",5,IF(B341="ALI",7,IF(B341="AIE",5,"")))),
        IF('Dados da OS'!$D$8=Parâmetros!$B$3,
           IF(OR(ISBLANK(D341),ISBLANK(F341)),"",
              IF(B341="ALI",IF(L341="L",7,IF(L341="A",10,15)),
                 IF(B341="AIE",IF(L341="L",5,IF(L341="A",7,10)),
                    IF(B341="SE",IF(L341="L",4,IF(L341="A",5,7)),
                       IF(OR(B341="EE",B341="CE"),IF(L341="L",3,IF(L341="A",4,6)),""))))))))),
   IF('Dados da OS'!$D$8=Parâmetros!$B$5,
      IF(OR(AND(B341="INM",N341&lt;&gt;"VF"),AND(N341="VF",B341&lt;&gt;"INM")),"",
         IF(B341="INM",IF(N341="VF",M341*H341,""),
            IF(B341="PE",4.6,
            IF(B341="AL",7,"")))),
   IF('Dados da OS'!$D$8=Parâmetros!$B$6,
      IF(B341="ALI",35,IF(B341="AIE",15,"")),""))
    )
)</f>
        <v/>
      </c>
      <c r="Q341" s="60" t="str">
        <f t="shared" si="37"/>
        <v/>
      </c>
      <c r="R341" s="61"/>
      <c r="S341" s="62"/>
      <c r="T341" s="80" t="s">
        <v>21</v>
      </c>
      <c r="U341" s="81"/>
      <c r="V341" s="99"/>
      <c r="W341" s="55"/>
      <c r="X341" s="55"/>
      <c r="Y341" s="56"/>
      <c r="Z341" s="55"/>
      <c r="AA341" s="56"/>
      <c r="AB341" s="55"/>
      <c r="AC341" s="57" t="str">
        <f t="shared" si="38"/>
        <v/>
      </c>
      <c r="AD341" s="57" t="str">
        <f t="shared" si="39"/>
        <v/>
      </c>
      <c r="AE341" s="57" t="str">
        <f xml:space="preserve">
IF(OR('Dados da OS'!$D$8=Parâmetros!$B$3,'Dados da OS'!$D$8=Parâmetros!$B$4),
  IF(OR(ISBLANK(X341),ISBLANK(Z341)),
     IF(OR(V341="ALI",V341="AIE"),"L",IF(ISBLANK(V341),"","A")),
     IF(V341="EE",IF(Z341&gt;=3,IF(X341&gt;=5,"H","A"),
     IF(Z341&gt;=2,IF(X341&gt;=16,"H",IF(X341&lt;=4,"L","A")),IF(X341&lt;=15,"L","A"))),
     IF(OR(V341="SE",V341="CE"),IF(Z341&gt;=4,IF(X341&gt;=6,"H","A"),IF(Z341&gt;=2,IF(X341&gt;=20,"H",IF(X341&lt;=5,"L","A")),IF(X341&lt;=19,"L","A"))),
     IF(OR(V341="ALI",V341="AIE"),IF(Z341&gt;=6,IF(X341&gt;=20,"H","A"),IF(Z341&gt;=2,IF(X341&gt;=51,"H",IF(X341&lt;=19,"L","A")),IF(X341&lt;=50,"L","A"))))))),
IF('Dados da OS'!$D$8=Parâmetros!$B$6,"Indicativa",
IF('Dados da OS'!$D$8=Parâmetros!$B$5,"PFS","")))</f>
        <v/>
      </c>
      <c r="AF341" s="57">
        <f>IFERROR(VLOOKUP(W341,'Fatores de Impacto e INMs'!$A$3:$D$32,3,0),1)</f>
        <v>1</v>
      </c>
      <c r="AG341" s="57">
        <f>IFERROR(VLOOKUP(W341,'Fatores de Impacto e INMs'!$A$3:$E$32,5,0),1)</f>
        <v>1</v>
      </c>
      <c r="AH341" s="82" t="str">
        <f xml:space="preserve">
IF(OR('Dados da OS'!$D$8="Selecione o tipo da contagem",ISBLANK('Dados da OS'!$D$8),V341="INM",V341="N/A",ISBLANK(V341),ISBLANK(W341),AG341="VF"),"-",
   IF('Dados da OS'!$D$8=Parâmetros!$B$3,
      IF(OR(ISBLANK(X341),ISBLANK(Z341)),"-",
         IF(AE341="L","Baixa",IF(AE341="A","Média",IF(AE341="H","Alta","-")))),
      IF('Dados da OS'!$D$8=Parâmetros!$B$4,
         IF(OR(V341="ALI",V341="AIE"),"Baixa",IF(OR(V341="EE",V341="SE",V341="CE"),"Média","-")),
         IF(OR('Dados da OS'!$D$8=Parâmetros!$B$5,'Dados da OS'!$D$8=Parâmetros!$B$6),"-"))))</f>
        <v>-</v>
      </c>
      <c r="AI341" s="83" t="str">
        <f xml:space="preserve">
IF(OR(ISBLANK(V341),ISBLANK(U341),ISBLANK(W341),V341="N/A",ISBLANK('Dados da OS'!$D$8)),"",
   IF(OR('Dados da OS'!$D$8=Parâmetros!$B$3,'Dados da OS'!$D$8=Parâmetros!$B$4),
      IF(OR(AND(V341="INM",AG341&lt;&gt;"VF"),AND(AG341="VF",V341&lt;&gt;"INM")),"",
        IF(AND(V341="INM",AG341="VF"),IF(ISBLANK(AB341),"",AF341*AB341),
        IF('Dados da OS'!$D$8=Parâmetros!$B$4,
           IF(OR(V341="CE",V341="EE"),4,IF(V341="SE",5,IF(V341="ALI",7,IF(V341="AIE",5,"")))),
        IF('Dados da OS'!$D$8=Parâmetros!$B$3,
           IF(OR(ISBLANK(X341),ISBLANK(Z341)),"",
              IF(V341="ALI",IF(AE341="L",7,IF(AE341="A",10,15)),
                 IF(V341="AIE",IF(AE341="L",5,IF(AE341="A",7,10)),
                    IF(V341="SE",IF(AE341="L",4,IF(AE341="A",5,7)),
                       IF(OR(V341="EE",V341="CE"),IF(AE341="L",3,IF(AE341="A",4,6)),""))))))))),
   IF('Dados da OS'!$D$8=Parâmetros!$B$5,
      IF(OR(AND(V341="INM",AG341&lt;&gt;"VF"),AND(AG341="VF",V341&lt;&gt;"INM")),"",
         IF(V341="INM",IF(AG341="VF",AF341*AB341,""),
            IF(V341="PE",4.6,
            IF(V341="AL",7,"")))),
   IF('Dados da OS'!$D$8=Parâmetros!$B$6,
      IF(V341="ALI",35,IF(V341="AIE",15,"")),""))
    )
)</f>
        <v/>
      </c>
      <c r="AJ341" s="82" t="str">
        <f t="shared" si="40"/>
        <v/>
      </c>
      <c r="AK341" s="84"/>
      <c r="AL341" s="85" t="s">
        <v>21</v>
      </c>
      <c r="AM341" s="86"/>
      <c r="AN341" s="85"/>
      <c r="AO341" s="87"/>
      <c r="AP341" s="85"/>
      <c r="AQ341" s="86"/>
      <c r="AR341" s="85"/>
    </row>
    <row r="342" spans="1:44" ht="15.75" customHeight="1">
      <c r="A342" s="54"/>
      <c r="B342" s="100"/>
      <c r="C342" s="55"/>
      <c r="D342" s="55"/>
      <c r="E342" s="56"/>
      <c r="F342" s="55"/>
      <c r="G342" s="56"/>
      <c r="H342" s="55"/>
      <c r="I342" s="64"/>
      <c r="J342" s="57" t="str">
        <f t="shared" si="35"/>
        <v/>
      </c>
      <c r="K342" s="57" t="str">
        <f t="shared" si="36"/>
        <v/>
      </c>
      <c r="L342" s="57" t="str">
        <f xml:space="preserve">
IF(OR('Dados da OS'!$D$8=Parâmetros!$B$3,'Dados da OS'!$D$8=Parâmetros!$B$4),
  IF(OR(ISBLANK(D342),ISBLANK(F342)),
     IF(OR(B342="ALI",B342="AIE"),"L",IF(ISBLANK(B342),"","A")),
     IF(B342="EE",IF(F342&gt;=3,IF(D342&gt;=5,"H","A"),
     IF(F342&gt;=2,IF(D342&gt;=16,"H",IF(D342&lt;=4,"L","A")),IF(D342&lt;=15,"L","A"))),
     IF(OR(B342="SE",B342="CE"),IF(F342&gt;=4,IF(D342&gt;=6,"H","A"),IF(F342&gt;=2,IF(D342&gt;=20,"H",IF(D342&lt;=5,"L","A")),IF(D342&lt;=19,"L","A"))),
     IF(OR(B342="ALI",B342="AIE"),IF(F342&gt;=6,IF(D342&gt;=20,"H","A"),IF(F342&gt;=2,IF(D342&gt;=51,"H",IF(D342&lt;=19,"L","A")),IF(D342&lt;=50,"L","A"))))))),
IF('Dados da OS'!$D$8=Parâmetros!$B$6,"Indicativa",
IF('Dados da OS'!$D$8=Parâmetros!$B$5,"PFS","")))</f>
        <v/>
      </c>
      <c r="M342" s="57">
        <f>IFERROR(VLOOKUP(C342,'Fatores de Impacto e INMs'!$A$3:$D$32,3,0),1)</f>
        <v>1</v>
      </c>
      <c r="N342" s="57">
        <f>IFERROR(VLOOKUP(C342,'Fatores de Impacto e INMs'!$A$3:$E$32,5,0),1)</f>
        <v>1</v>
      </c>
      <c r="O342" s="63" t="str">
        <f xml:space="preserve">
IF(OR('Dados da OS'!$D$8="Selecione o tipo da contagem",ISBLANK('Dados da OS'!$D$8),B342="INM",B342="N/A",ISBLANK(B342),ISBLANK(C342),N342="VF"),"-",
   IF('Dados da OS'!$D$8=Parâmetros!$B$3,
      IF(OR(ISBLANK(D342),ISBLANK(F342)),"-",
         IF(L342="L","Baixa",IF(L342="A","Média",IF(L342="H","Alta","-")))),
      IF('Dados da OS'!$D$8=Parâmetros!$B$4,
         IF(OR(B342="ALI",B342="AIE"),"Baixa",IF(OR(B342="EE",B342="SE",B342="CE"),"Média","-")),
         IF(OR('Dados da OS'!$D$8=Parâmetros!$B$5,'Dados da OS'!$D$8=Parâmetros!$B$6),"-"))))</f>
        <v>-</v>
      </c>
      <c r="P342" s="59" t="str">
        <f xml:space="preserve">
IF(OR(ISBLANK(B342),ISBLANK(C342),B342="N/A",ISBLANK('Dados da OS'!$D$8)),"",
   IF(OR('Dados da OS'!$D$8=Parâmetros!$B$3,'Dados da OS'!$D$8=Parâmetros!$B$4),
      IF(OR(AND(B342="INM",N342&lt;&gt;"VF"),AND(N342="VF",B342&lt;&gt;"INM")),"",
        IF(AND(B342="INM",N342="VF"),IF(ISBLANK(H342),"",M342*H342),
        IF('Dados da OS'!$D$8=Parâmetros!$B$4,
           IF(OR(B342="CE",B342="EE"),4,IF(B342="SE",5,IF(B342="ALI",7,IF(B342="AIE",5,"")))),
        IF('Dados da OS'!$D$8=Parâmetros!$B$3,
           IF(OR(ISBLANK(D342),ISBLANK(F342)),"",
              IF(B342="ALI",IF(L342="L",7,IF(L342="A",10,15)),
                 IF(B342="AIE",IF(L342="L",5,IF(L342="A",7,10)),
                    IF(B342="SE",IF(L342="L",4,IF(L342="A",5,7)),
                       IF(OR(B342="EE",B342="CE"),IF(L342="L",3,IF(L342="A",4,6)),""))))))))),
   IF('Dados da OS'!$D$8=Parâmetros!$B$5,
      IF(OR(AND(B342="INM",N342&lt;&gt;"VF"),AND(N342="VF",B342&lt;&gt;"INM")),"",
         IF(B342="INM",IF(N342="VF",M342*H342,""),
            IF(B342="PE",4.6,
            IF(B342="AL",7,"")))),
   IF('Dados da OS'!$D$8=Parâmetros!$B$6,
      IF(B342="ALI",35,IF(B342="AIE",15,"")),""))
    )
)</f>
        <v/>
      </c>
      <c r="Q342" s="60" t="str">
        <f t="shared" si="37"/>
        <v/>
      </c>
      <c r="R342" s="61"/>
      <c r="S342" s="62"/>
      <c r="T342" s="80" t="s">
        <v>21</v>
      </c>
      <c r="U342" s="81"/>
      <c r="V342" s="99"/>
      <c r="W342" s="55"/>
      <c r="X342" s="55"/>
      <c r="Y342" s="56"/>
      <c r="Z342" s="55"/>
      <c r="AA342" s="56"/>
      <c r="AB342" s="55"/>
      <c r="AC342" s="57" t="str">
        <f t="shared" si="38"/>
        <v/>
      </c>
      <c r="AD342" s="57" t="str">
        <f t="shared" si="39"/>
        <v/>
      </c>
      <c r="AE342" s="57" t="str">
        <f xml:space="preserve">
IF(OR('Dados da OS'!$D$8=Parâmetros!$B$3,'Dados da OS'!$D$8=Parâmetros!$B$4),
  IF(OR(ISBLANK(X342),ISBLANK(Z342)),
     IF(OR(V342="ALI",V342="AIE"),"L",IF(ISBLANK(V342),"","A")),
     IF(V342="EE",IF(Z342&gt;=3,IF(X342&gt;=5,"H","A"),
     IF(Z342&gt;=2,IF(X342&gt;=16,"H",IF(X342&lt;=4,"L","A")),IF(X342&lt;=15,"L","A"))),
     IF(OR(V342="SE",V342="CE"),IF(Z342&gt;=4,IF(X342&gt;=6,"H","A"),IF(Z342&gt;=2,IF(X342&gt;=20,"H",IF(X342&lt;=5,"L","A")),IF(X342&lt;=19,"L","A"))),
     IF(OR(V342="ALI",V342="AIE"),IF(Z342&gt;=6,IF(X342&gt;=20,"H","A"),IF(Z342&gt;=2,IF(X342&gt;=51,"H",IF(X342&lt;=19,"L","A")),IF(X342&lt;=50,"L","A"))))))),
IF('Dados da OS'!$D$8=Parâmetros!$B$6,"Indicativa",
IF('Dados da OS'!$D$8=Parâmetros!$B$5,"PFS","")))</f>
        <v/>
      </c>
      <c r="AF342" s="57">
        <f>IFERROR(VLOOKUP(W342,'Fatores de Impacto e INMs'!$A$3:$D$32,3,0),1)</f>
        <v>1</v>
      </c>
      <c r="AG342" s="57">
        <f>IFERROR(VLOOKUP(W342,'Fatores de Impacto e INMs'!$A$3:$E$32,5,0),1)</f>
        <v>1</v>
      </c>
      <c r="AH342" s="82" t="str">
        <f xml:space="preserve">
IF(OR('Dados da OS'!$D$8="Selecione o tipo da contagem",ISBLANK('Dados da OS'!$D$8),V342="INM",V342="N/A",ISBLANK(V342),ISBLANK(W342),AG342="VF"),"-",
   IF('Dados da OS'!$D$8=Parâmetros!$B$3,
      IF(OR(ISBLANK(X342),ISBLANK(Z342)),"-",
         IF(AE342="L","Baixa",IF(AE342="A","Média",IF(AE342="H","Alta","-")))),
      IF('Dados da OS'!$D$8=Parâmetros!$B$4,
         IF(OR(V342="ALI",V342="AIE"),"Baixa",IF(OR(V342="EE",V342="SE",V342="CE"),"Média","-")),
         IF(OR('Dados da OS'!$D$8=Parâmetros!$B$5,'Dados da OS'!$D$8=Parâmetros!$B$6),"-"))))</f>
        <v>-</v>
      </c>
      <c r="AI342" s="83" t="str">
        <f xml:space="preserve">
IF(OR(ISBLANK(V342),ISBLANK(U342),ISBLANK(W342),V342="N/A",ISBLANK('Dados da OS'!$D$8)),"",
   IF(OR('Dados da OS'!$D$8=Parâmetros!$B$3,'Dados da OS'!$D$8=Parâmetros!$B$4),
      IF(OR(AND(V342="INM",AG342&lt;&gt;"VF"),AND(AG342="VF",V342&lt;&gt;"INM")),"",
        IF(AND(V342="INM",AG342="VF"),IF(ISBLANK(AB342),"",AF342*AB342),
        IF('Dados da OS'!$D$8=Parâmetros!$B$4,
           IF(OR(V342="CE",V342="EE"),4,IF(V342="SE",5,IF(V342="ALI",7,IF(V342="AIE",5,"")))),
        IF('Dados da OS'!$D$8=Parâmetros!$B$3,
           IF(OR(ISBLANK(X342),ISBLANK(Z342)),"",
              IF(V342="ALI",IF(AE342="L",7,IF(AE342="A",10,15)),
                 IF(V342="AIE",IF(AE342="L",5,IF(AE342="A",7,10)),
                    IF(V342="SE",IF(AE342="L",4,IF(AE342="A",5,7)),
                       IF(OR(V342="EE",V342="CE"),IF(AE342="L",3,IF(AE342="A",4,6)),""))))))))),
   IF('Dados da OS'!$D$8=Parâmetros!$B$5,
      IF(OR(AND(V342="INM",AG342&lt;&gt;"VF"),AND(AG342="VF",V342&lt;&gt;"INM")),"",
         IF(V342="INM",IF(AG342="VF",AF342*AB342,""),
            IF(V342="PE",4.6,
            IF(V342="AL",7,"")))),
   IF('Dados da OS'!$D$8=Parâmetros!$B$6,
      IF(V342="ALI",35,IF(V342="AIE",15,"")),""))
    )
)</f>
        <v/>
      </c>
      <c r="AJ342" s="82" t="str">
        <f t="shared" si="40"/>
        <v/>
      </c>
      <c r="AK342" s="84"/>
      <c r="AL342" s="85" t="s">
        <v>21</v>
      </c>
      <c r="AM342" s="86"/>
      <c r="AN342" s="85"/>
      <c r="AO342" s="87"/>
      <c r="AP342" s="85"/>
      <c r="AQ342" s="86"/>
      <c r="AR342" s="85"/>
    </row>
    <row r="343" spans="1:44" ht="15.75" customHeight="1">
      <c r="A343" s="54"/>
      <c r="B343" s="100"/>
      <c r="C343" s="55"/>
      <c r="D343" s="55"/>
      <c r="E343" s="56"/>
      <c r="F343" s="55"/>
      <c r="G343" s="56"/>
      <c r="H343" s="55"/>
      <c r="I343" s="64"/>
      <c r="J343" s="57" t="str">
        <f t="shared" si="35"/>
        <v/>
      </c>
      <c r="K343" s="57" t="str">
        <f t="shared" si="36"/>
        <v/>
      </c>
      <c r="L343" s="57" t="str">
        <f xml:space="preserve">
IF(OR('Dados da OS'!$D$8=Parâmetros!$B$3,'Dados da OS'!$D$8=Parâmetros!$B$4),
  IF(OR(ISBLANK(D343),ISBLANK(F343)),
     IF(OR(B343="ALI",B343="AIE"),"L",IF(ISBLANK(B343),"","A")),
     IF(B343="EE",IF(F343&gt;=3,IF(D343&gt;=5,"H","A"),
     IF(F343&gt;=2,IF(D343&gt;=16,"H",IF(D343&lt;=4,"L","A")),IF(D343&lt;=15,"L","A"))),
     IF(OR(B343="SE",B343="CE"),IF(F343&gt;=4,IF(D343&gt;=6,"H","A"),IF(F343&gt;=2,IF(D343&gt;=20,"H",IF(D343&lt;=5,"L","A")),IF(D343&lt;=19,"L","A"))),
     IF(OR(B343="ALI",B343="AIE"),IF(F343&gt;=6,IF(D343&gt;=20,"H","A"),IF(F343&gt;=2,IF(D343&gt;=51,"H",IF(D343&lt;=19,"L","A")),IF(D343&lt;=50,"L","A"))))))),
IF('Dados da OS'!$D$8=Parâmetros!$B$6,"Indicativa",
IF('Dados da OS'!$D$8=Parâmetros!$B$5,"PFS","")))</f>
        <v/>
      </c>
      <c r="M343" s="57">
        <f>IFERROR(VLOOKUP(C343,'Fatores de Impacto e INMs'!$A$3:$D$32,3,0),1)</f>
        <v>1</v>
      </c>
      <c r="N343" s="57">
        <f>IFERROR(VLOOKUP(C343,'Fatores de Impacto e INMs'!$A$3:$E$32,5,0),1)</f>
        <v>1</v>
      </c>
      <c r="O343" s="63" t="str">
        <f xml:space="preserve">
IF(OR('Dados da OS'!$D$8="Selecione o tipo da contagem",ISBLANK('Dados da OS'!$D$8),B343="INM",B343="N/A",ISBLANK(B343),ISBLANK(C343),N343="VF"),"-",
   IF('Dados da OS'!$D$8=Parâmetros!$B$3,
      IF(OR(ISBLANK(D343),ISBLANK(F343)),"-",
         IF(L343="L","Baixa",IF(L343="A","Média",IF(L343="H","Alta","-")))),
      IF('Dados da OS'!$D$8=Parâmetros!$B$4,
         IF(OR(B343="ALI",B343="AIE"),"Baixa",IF(OR(B343="EE",B343="SE",B343="CE"),"Média","-")),
         IF(OR('Dados da OS'!$D$8=Parâmetros!$B$5,'Dados da OS'!$D$8=Parâmetros!$B$6),"-"))))</f>
        <v>-</v>
      </c>
      <c r="P343" s="59" t="str">
        <f xml:space="preserve">
IF(OR(ISBLANK(B343),ISBLANK(C343),B343="N/A",ISBLANK('Dados da OS'!$D$8)),"",
   IF(OR('Dados da OS'!$D$8=Parâmetros!$B$3,'Dados da OS'!$D$8=Parâmetros!$B$4),
      IF(OR(AND(B343="INM",N343&lt;&gt;"VF"),AND(N343="VF",B343&lt;&gt;"INM")),"",
        IF(AND(B343="INM",N343="VF"),IF(ISBLANK(H343),"",M343*H343),
        IF('Dados da OS'!$D$8=Parâmetros!$B$4,
           IF(OR(B343="CE",B343="EE"),4,IF(B343="SE",5,IF(B343="ALI",7,IF(B343="AIE",5,"")))),
        IF('Dados da OS'!$D$8=Parâmetros!$B$3,
           IF(OR(ISBLANK(D343),ISBLANK(F343)),"",
              IF(B343="ALI",IF(L343="L",7,IF(L343="A",10,15)),
                 IF(B343="AIE",IF(L343="L",5,IF(L343="A",7,10)),
                    IF(B343="SE",IF(L343="L",4,IF(L343="A",5,7)),
                       IF(OR(B343="EE",B343="CE"),IF(L343="L",3,IF(L343="A",4,6)),""))))))))),
   IF('Dados da OS'!$D$8=Parâmetros!$B$5,
      IF(OR(AND(B343="INM",N343&lt;&gt;"VF"),AND(N343="VF",B343&lt;&gt;"INM")),"",
         IF(B343="INM",IF(N343="VF",M343*H343,""),
            IF(B343="PE",4.6,
            IF(B343="AL",7,"")))),
   IF('Dados da OS'!$D$8=Parâmetros!$B$6,
      IF(B343="ALI",35,IF(B343="AIE",15,"")),""))
    )
)</f>
        <v/>
      </c>
      <c r="Q343" s="60" t="str">
        <f t="shared" si="37"/>
        <v/>
      </c>
      <c r="R343" s="61"/>
      <c r="S343" s="62"/>
      <c r="T343" s="80" t="s">
        <v>21</v>
      </c>
      <c r="U343" s="81"/>
      <c r="V343" s="99"/>
      <c r="W343" s="55"/>
      <c r="X343" s="55"/>
      <c r="Y343" s="56"/>
      <c r="Z343" s="55"/>
      <c r="AA343" s="56"/>
      <c r="AB343" s="55"/>
      <c r="AC343" s="57" t="str">
        <f t="shared" si="38"/>
        <v/>
      </c>
      <c r="AD343" s="57" t="str">
        <f t="shared" si="39"/>
        <v/>
      </c>
      <c r="AE343" s="57" t="str">
        <f xml:space="preserve">
IF(OR('Dados da OS'!$D$8=Parâmetros!$B$3,'Dados da OS'!$D$8=Parâmetros!$B$4),
  IF(OR(ISBLANK(X343),ISBLANK(Z343)),
     IF(OR(V343="ALI",V343="AIE"),"L",IF(ISBLANK(V343),"","A")),
     IF(V343="EE",IF(Z343&gt;=3,IF(X343&gt;=5,"H","A"),
     IF(Z343&gt;=2,IF(X343&gt;=16,"H",IF(X343&lt;=4,"L","A")),IF(X343&lt;=15,"L","A"))),
     IF(OR(V343="SE",V343="CE"),IF(Z343&gt;=4,IF(X343&gt;=6,"H","A"),IF(Z343&gt;=2,IF(X343&gt;=20,"H",IF(X343&lt;=5,"L","A")),IF(X343&lt;=19,"L","A"))),
     IF(OR(V343="ALI",V343="AIE"),IF(Z343&gt;=6,IF(X343&gt;=20,"H","A"),IF(Z343&gt;=2,IF(X343&gt;=51,"H",IF(X343&lt;=19,"L","A")),IF(X343&lt;=50,"L","A"))))))),
IF('Dados da OS'!$D$8=Parâmetros!$B$6,"Indicativa",
IF('Dados da OS'!$D$8=Parâmetros!$B$5,"PFS","")))</f>
        <v/>
      </c>
      <c r="AF343" s="57">
        <f>IFERROR(VLOOKUP(W343,'Fatores de Impacto e INMs'!$A$3:$D$32,3,0),1)</f>
        <v>1</v>
      </c>
      <c r="AG343" s="57">
        <f>IFERROR(VLOOKUP(W343,'Fatores de Impacto e INMs'!$A$3:$E$32,5,0),1)</f>
        <v>1</v>
      </c>
      <c r="AH343" s="82" t="str">
        <f xml:space="preserve">
IF(OR('Dados da OS'!$D$8="Selecione o tipo da contagem",ISBLANK('Dados da OS'!$D$8),V343="INM",V343="N/A",ISBLANK(V343),ISBLANK(W343),AG343="VF"),"-",
   IF('Dados da OS'!$D$8=Parâmetros!$B$3,
      IF(OR(ISBLANK(X343),ISBLANK(Z343)),"-",
         IF(AE343="L","Baixa",IF(AE343="A","Média",IF(AE343="H","Alta","-")))),
      IF('Dados da OS'!$D$8=Parâmetros!$B$4,
         IF(OR(V343="ALI",V343="AIE"),"Baixa",IF(OR(V343="EE",V343="SE",V343="CE"),"Média","-")),
         IF(OR('Dados da OS'!$D$8=Parâmetros!$B$5,'Dados da OS'!$D$8=Parâmetros!$B$6),"-"))))</f>
        <v>-</v>
      </c>
      <c r="AI343" s="83" t="str">
        <f xml:space="preserve">
IF(OR(ISBLANK(V343),ISBLANK(U343),ISBLANK(W343),V343="N/A",ISBLANK('Dados da OS'!$D$8)),"",
   IF(OR('Dados da OS'!$D$8=Parâmetros!$B$3,'Dados da OS'!$D$8=Parâmetros!$B$4),
      IF(OR(AND(V343="INM",AG343&lt;&gt;"VF"),AND(AG343="VF",V343&lt;&gt;"INM")),"",
        IF(AND(V343="INM",AG343="VF"),IF(ISBLANK(AB343),"",AF343*AB343),
        IF('Dados da OS'!$D$8=Parâmetros!$B$4,
           IF(OR(V343="CE",V343="EE"),4,IF(V343="SE",5,IF(V343="ALI",7,IF(V343="AIE",5,"")))),
        IF('Dados da OS'!$D$8=Parâmetros!$B$3,
           IF(OR(ISBLANK(X343),ISBLANK(Z343)),"",
              IF(V343="ALI",IF(AE343="L",7,IF(AE343="A",10,15)),
                 IF(V343="AIE",IF(AE343="L",5,IF(AE343="A",7,10)),
                    IF(V343="SE",IF(AE343="L",4,IF(AE343="A",5,7)),
                       IF(OR(V343="EE",V343="CE"),IF(AE343="L",3,IF(AE343="A",4,6)),""))))))))),
   IF('Dados da OS'!$D$8=Parâmetros!$B$5,
      IF(OR(AND(V343="INM",AG343&lt;&gt;"VF"),AND(AG343="VF",V343&lt;&gt;"INM")),"",
         IF(V343="INM",IF(AG343="VF",AF343*AB343,""),
            IF(V343="PE",4.6,
            IF(V343="AL",7,"")))),
   IF('Dados da OS'!$D$8=Parâmetros!$B$6,
      IF(V343="ALI",35,IF(V343="AIE",15,"")),""))
    )
)</f>
        <v/>
      </c>
      <c r="AJ343" s="82" t="str">
        <f t="shared" si="40"/>
        <v/>
      </c>
      <c r="AK343" s="84"/>
      <c r="AL343" s="85" t="s">
        <v>21</v>
      </c>
      <c r="AM343" s="86"/>
      <c r="AN343" s="85"/>
      <c r="AO343" s="87"/>
      <c r="AP343" s="85"/>
      <c r="AQ343" s="86"/>
      <c r="AR343" s="85"/>
    </row>
    <row r="344" spans="1:44" ht="15.75" customHeight="1">
      <c r="A344" s="54"/>
      <c r="B344" s="100"/>
      <c r="C344" s="55"/>
      <c r="D344" s="55"/>
      <c r="E344" s="56"/>
      <c r="F344" s="55"/>
      <c r="G344" s="56"/>
      <c r="H344" s="55"/>
      <c r="I344" s="64"/>
      <c r="J344" s="57" t="str">
        <f t="shared" si="35"/>
        <v/>
      </c>
      <c r="K344" s="57" t="str">
        <f t="shared" si="36"/>
        <v/>
      </c>
      <c r="L344" s="57" t="str">
        <f xml:space="preserve">
IF(OR('Dados da OS'!$D$8=Parâmetros!$B$3,'Dados da OS'!$D$8=Parâmetros!$B$4),
  IF(OR(ISBLANK(D344),ISBLANK(F344)),
     IF(OR(B344="ALI",B344="AIE"),"L",IF(ISBLANK(B344),"","A")),
     IF(B344="EE",IF(F344&gt;=3,IF(D344&gt;=5,"H","A"),
     IF(F344&gt;=2,IF(D344&gt;=16,"H",IF(D344&lt;=4,"L","A")),IF(D344&lt;=15,"L","A"))),
     IF(OR(B344="SE",B344="CE"),IF(F344&gt;=4,IF(D344&gt;=6,"H","A"),IF(F344&gt;=2,IF(D344&gt;=20,"H",IF(D344&lt;=5,"L","A")),IF(D344&lt;=19,"L","A"))),
     IF(OR(B344="ALI",B344="AIE"),IF(F344&gt;=6,IF(D344&gt;=20,"H","A"),IF(F344&gt;=2,IF(D344&gt;=51,"H",IF(D344&lt;=19,"L","A")),IF(D344&lt;=50,"L","A"))))))),
IF('Dados da OS'!$D$8=Parâmetros!$B$6,"Indicativa",
IF('Dados da OS'!$D$8=Parâmetros!$B$5,"PFS","")))</f>
        <v/>
      </c>
      <c r="M344" s="57">
        <f>IFERROR(VLOOKUP(C344,'Fatores de Impacto e INMs'!$A$3:$D$32,3,0),1)</f>
        <v>1</v>
      </c>
      <c r="N344" s="57">
        <f>IFERROR(VLOOKUP(C344,'Fatores de Impacto e INMs'!$A$3:$E$32,5,0),1)</f>
        <v>1</v>
      </c>
      <c r="O344" s="63" t="str">
        <f xml:space="preserve">
IF(OR('Dados da OS'!$D$8="Selecione o tipo da contagem",ISBLANK('Dados da OS'!$D$8),B344="INM",B344="N/A",ISBLANK(B344),ISBLANK(C344),N344="VF"),"-",
   IF('Dados da OS'!$D$8=Parâmetros!$B$3,
      IF(OR(ISBLANK(D344),ISBLANK(F344)),"-",
         IF(L344="L","Baixa",IF(L344="A","Média",IF(L344="H","Alta","-")))),
      IF('Dados da OS'!$D$8=Parâmetros!$B$4,
         IF(OR(B344="ALI",B344="AIE"),"Baixa",IF(OR(B344="EE",B344="SE",B344="CE"),"Média","-")),
         IF(OR('Dados da OS'!$D$8=Parâmetros!$B$5,'Dados da OS'!$D$8=Parâmetros!$B$6),"-"))))</f>
        <v>-</v>
      </c>
      <c r="P344" s="59" t="str">
        <f xml:space="preserve">
IF(OR(ISBLANK(B344),ISBLANK(C344),B344="N/A",ISBLANK('Dados da OS'!$D$8)),"",
   IF(OR('Dados da OS'!$D$8=Parâmetros!$B$3,'Dados da OS'!$D$8=Parâmetros!$B$4),
      IF(OR(AND(B344="INM",N344&lt;&gt;"VF"),AND(N344="VF",B344&lt;&gt;"INM")),"",
        IF(AND(B344="INM",N344="VF"),IF(ISBLANK(H344),"",M344*H344),
        IF('Dados da OS'!$D$8=Parâmetros!$B$4,
           IF(OR(B344="CE",B344="EE"),4,IF(B344="SE",5,IF(B344="ALI",7,IF(B344="AIE",5,"")))),
        IF('Dados da OS'!$D$8=Parâmetros!$B$3,
           IF(OR(ISBLANK(D344),ISBLANK(F344)),"",
              IF(B344="ALI",IF(L344="L",7,IF(L344="A",10,15)),
                 IF(B344="AIE",IF(L344="L",5,IF(L344="A",7,10)),
                    IF(B344="SE",IF(L344="L",4,IF(L344="A",5,7)),
                       IF(OR(B344="EE",B344="CE"),IF(L344="L",3,IF(L344="A",4,6)),""))))))))),
   IF('Dados da OS'!$D$8=Parâmetros!$B$5,
      IF(OR(AND(B344="INM",N344&lt;&gt;"VF"),AND(N344="VF",B344&lt;&gt;"INM")),"",
         IF(B344="INM",IF(N344="VF",M344*H344,""),
            IF(B344="PE",4.6,
            IF(B344="AL",7,"")))),
   IF('Dados da OS'!$D$8=Parâmetros!$B$6,
      IF(B344="ALI",35,IF(B344="AIE",15,"")),""))
    )
)</f>
        <v/>
      </c>
      <c r="Q344" s="60" t="str">
        <f t="shared" si="37"/>
        <v/>
      </c>
      <c r="R344" s="61"/>
      <c r="S344" s="62"/>
      <c r="T344" s="80" t="s">
        <v>21</v>
      </c>
      <c r="U344" s="81"/>
      <c r="V344" s="99"/>
      <c r="W344" s="55"/>
      <c r="X344" s="55"/>
      <c r="Y344" s="56"/>
      <c r="Z344" s="55"/>
      <c r="AA344" s="56"/>
      <c r="AB344" s="55"/>
      <c r="AC344" s="57" t="str">
        <f t="shared" si="38"/>
        <v/>
      </c>
      <c r="AD344" s="57" t="str">
        <f t="shared" si="39"/>
        <v/>
      </c>
      <c r="AE344" s="57" t="str">
        <f xml:space="preserve">
IF(OR('Dados da OS'!$D$8=Parâmetros!$B$3,'Dados da OS'!$D$8=Parâmetros!$B$4),
  IF(OR(ISBLANK(X344),ISBLANK(Z344)),
     IF(OR(V344="ALI",V344="AIE"),"L",IF(ISBLANK(V344),"","A")),
     IF(V344="EE",IF(Z344&gt;=3,IF(X344&gt;=5,"H","A"),
     IF(Z344&gt;=2,IF(X344&gt;=16,"H",IF(X344&lt;=4,"L","A")),IF(X344&lt;=15,"L","A"))),
     IF(OR(V344="SE",V344="CE"),IF(Z344&gt;=4,IF(X344&gt;=6,"H","A"),IF(Z344&gt;=2,IF(X344&gt;=20,"H",IF(X344&lt;=5,"L","A")),IF(X344&lt;=19,"L","A"))),
     IF(OR(V344="ALI",V344="AIE"),IF(Z344&gt;=6,IF(X344&gt;=20,"H","A"),IF(Z344&gt;=2,IF(X344&gt;=51,"H",IF(X344&lt;=19,"L","A")),IF(X344&lt;=50,"L","A"))))))),
IF('Dados da OS'!$D$8=Parâmetros!$B$6,"Indicativa",
IF('Dados da OS'!$D$8=Parâmetros!$B$5,"PFS","")))</f>
        <v/>
      </c>
      <c r="AF344" s="57">
        <f>IFERROR(VLOOKUP(W344,'Fatores de Impacto e INMs'!$A$3:$D$32,3,0),1)</f>
        <v>1</v>
      </c>
      <c r="AG344" s="57">
        <f>IFERROR(VLOOKUP(W344,'Fatores de Impacto e INMs'!$A$3:$E$32,5,0),1)</f>
        <v>1</v>
      </c>
      <c r="AH344" s="82" t="str">
        <f xml:space="preserve">
IF(OR('Dados da OS'!$D$8="Selecione o tipo da contagem",ISBLANK('Dados da OS'!$D$8),V344="INM",V344="N/A",ISBLANK(V344),ISBLANK(W344),AG344="VF"),"-",
   IF('Dados da OS'!$D$8=Parâmetros!$B$3,
      IF(OR(ISBLANK(X344),ISBLANK(Z344)),"-",
         IF(AE344="L","Baixa",IF(AE344="A","Média",IF(AE344="H","Alta","-")))),
      IF('Dados da OS'!$D$8=Parâmetros!$B$4,
         IF(OR(V344="ALI",V344="AIE"),"Baixa",IF(OR(V344="EE",V344="SE",V344="CE"),"Média","-")),
         IF(OR('Dados da OS'!$D$8=Parâmetros!$B$5,'Dados da OS'!$D$8=Parâmetros!$B$6),"-"))))</f>
        <v>-</v>
      </c>
      <c r="AI344" s="83" t="str">
        <f xml:space="preserve">
IF(OR(ISBLANK(V344),ISBLANK(U344),ISBLANK(W344),V344="N/A",ISBLANK('Dados da OS'!$D$8)),"",
   IF(OR('Dados da OS'!$D$8=Parâmetros!$B$3,'Dados da OS'!$D$8=Parâmetros!$B$4),
      IF(OR(AND(V344="INM",AG344&lt;&gt;"VF"),AND(AG344="VF",V344&lt;&gt;"INM")),"",
        IF(AND(V344="INM",AG344="VF"),IF(ISBLANK(AB344),"",AF344*AB344),
        IF('Dados da OS'!$D$8=Parâmetros!$B$4,
           IF(OR(V344="CE",V344="EE"),4,IF(V344="SE",5,IF(V344="ALI",7,IF(V344="AIE",5,"")))),
        IF('Dados da OS'!$D$8=Parâmetros!$B$3,
           IF(OR(ISBLANK(X344),ISBLANK(Z344)),"",
              IF(V344="ALI",IF(AE344="L",7,IF(AE344="A",10,15)),
                 IF(V344="AIE",IF(AE344="L",5,IF(AE344="A",7,10)),
                    IF(V344="SE",IF(AE344="L",4,IF(AE344="A",5,7)),
                       IF(OR(V344="EE",V344="CE"),IF(AE344="L",3,IF(AE344="A",4,6)),""))))))))),
   IF('Dados da OS'!$D$8=Parâmetros!$B$5,
      IF(OR(AND(V344="INM",AG344&lt;&gt;"VF"),AND(AG344="VF",V344&lt;&gt;"INM")),"",
         IF(V344="INM",IF(AG344="VF",AF344*AB344,""),
            IF(V344="PE",4.6,
            IF(V344="AL",7,"")))),
   IF('Dados da OS'!$D$8=Parâmetros!$B$6,
      IF(V344="ALI",35,IF(V344="AIE",15,"")),""))
    )
)</f>
        <v/>
      </c>
      <c r="AJ344" s="82" t="str">
        <f t="shared" si="40"/>
        <v/>
      </c>
      <c r="AK344" s="84"/>
      <c r="AL344" s="85" t="s">
        <v>21</v>
      </c>
      <c r="AM344" s="86"/>
      <c r="AN344" s="85"/>
      <c r="AO344" s="87"/>
      <c r="AP344" s="85"/>
      <c r="AQ344" s="86"/>
      <c r="AR344" s="85"/>
    </row>
    <row r="345" spans="1:44" ht="15.75" customHeight="1">
      <c r="A345" s="54"/>
      <c r="B345" s="100"/>
      <c r="C345" s="55"/>
      <c r="D345" s="55"/>
      <c r="E345" s="56"/>
      <c r="F345" s="55"/>
      <c r="G345" s="56"/>
      <c r="H345" s="55"/>
      <c r="I345" s="64"/>
      <c r="J345" s="57" t="str">
        <f t="shared" si="35"/>
        <v/>
      </c>
      <c r="K345" s="57" t="str">
        <f t="shared" si="36"/>
        <v/>
      </c>
      <c r="L345" s="57" t="str">
        <f xml:space="preserve">
IF(OR('Dados da OS'!$D$8=Parâmetros!$B$3,'Dados da OS'!$D$8=Parâmetros!$B$4),
  IF(OR(ISBLANK(D345),ISBLANK(F345)),
     IF(OR(B345="ALI",B345="AIE"),"L",IF(ISBLANK(B345),"","A")),
     IF(B345="EE",IF(F345&gt;=3,IF(D345&gt;=5,"H","A"),
     IF(F345&gt;=2,IF(D345&gt;=16,"H",IF(D345&lt;=4,"L","A")),IF(D345&lt;=15,"L","A"))),
     IF(OR(B345="SE",B345="CE"),IF(F345&gt;=4,IF(D345&gt;=6,"H","A"),IF(F345&gt;=2,IF(D345&gt;=20,"H",IF(D345&lt;=5,"L","A")),IF(D345&lt;=19,"L","A"))),
     IF(OR(B345="ALI",B345="AIE"),IF(F345&gt;=6,IF(D345&gt;=20,"H","A"),IF(F345&gt;=2,IF(D345&gt;=51,"H",IF(D345&lt;=19,"L","A")),IF(D345&lt;=50,"L","A"))))))),
IF('Dados da OS'!$D$8=Parâmetros!$B$6,"Indicativa",
IF('Dados da OS'!$D$8=Parâmetros!$B$5,"PFS","")))</f>
        <v/>
      </c>
      <c r="M345" s="57">
        <f>IFERROR(VLOOKUP(C345,'Fatores de Impacto e INMs'!$A$3:$D$32,3,0),1)</f>
        <v>1</v>
      </c>
      <c r="N345" s="57">
        <f>IFERROR(VLOOKUP(C345,'Fatores de Impacto e INMs'!$A$3:$E$32,5,0),1)</f>
        <v>1</v>
      </c>
      <c r="O345" s="63" t="str">
        <f xml:space="preserve">
IF(OR('Dados da OS'!$D$8="Selecione o tipo da contagem",ISBLANK('Dados da OS'!$D$8),B345="INM",B345="N/A",ISBLANK(B345),ISBLANK(C345),N345="VF"),"-",
   IF('Dados da OS'!$D$8=Parâmetros!$B$3,
      IF(OR(ISBLANK(D345),ISBLANK(F345)),"-",
         IF(L345="L","Baixa",IF(L345="A","Média",IF(L345="H","Alta","-")))),
      IF('Dados da OS'!$D$8=Parâmetros!$B$4,
         IF(OR(B345="ALI",B345="AIE"),"Baixa",IF(OR(B345="EE",B345="SE",B345="CE"),"Média","-")),
         IF(OR('Dados da OS'!$D$8=Parâmetros!$B$5,'Dados da OS'!$D$8=Parâmetros!$B$6),"-"))))</f>
        <v>-</v>
      </c>
      <c r="P345" s="59" t="str">
        <f xml:space="preserve">
IF(OR(ISBLANK(B345),ISBLANK(C345),B345="N/A",ISBLANK('Dados da OS'!$D$8)),"",
   IF(OR('Dados da OS'!$D$8=Parâmetros!$B$3,'Dados da OS'!$D$8=Parâmetros!$B$4),
      IF(OR(AND(B345="INM",N345&lt;&gt;"VF"),AND(N345="VF",B345&lt;&gt;"INM")),"",
        IF(AND(B345="INM",N345="VF"),IF(ISBLANK(H345),"",M345*H345),
        IF('Dados da OS'!$D$8=Parâmetros!$B$4,
           IF(OR(B345="CE",B345="EE"),4,IF(B345="SE",5,IF(B345="ALI",7,IF(B345="AIE",5,"")))),
        IF('Dados da OS'!$D$8=Parâmetros!$B$3,
           IF(OR(ISBLANK(D345),ISBLANK(F345)),"",
              IF(B345="ALI",IF(L345="L",7,IF(L345="A",10,15)),
                 IF(B345="AIE",IF(L345="L",5,IF(L345="A",7,10)),
                    IF(B345="SE",IF(L345="L",4,IF(L345="A",5,7)),
                       IF(OR(B345="EE",B345="CE"),IF(L345="L",3,IF(L345="A",4,6)),""))))))))),
   IF('Dados da OS'!$D$8=Parâmetros!$B$5,
      IF(OR(AND(B345="INM",N345&lt;&gt;"VF"),AND(N345="VF",B345&lt;&gt;"INM")),"",
         IF(B345="INM",IF(N345="VF",M345*H345,""),
            IF(B345="PE",4.6,
            IF(B345="AL",7,"")))),
   IF('Dados da OS'!$D$8=Parâmetros!$B$6,
      IF(B345="ALI",35,IF(B345="AIE",15,"")),""))
    )
)</f>
        <v/>
      </c>
      <c r="Q345" s="60" t="str">
        <f t="shared" si="37"/>
        <v/>
      </c>
      <c r="R345" s="61"/>
      <c r="S345" s="62"/>
      <c r="T345" s="80" t="s">
        <v>21</v>
      </c>
      <c r="U345" s="81"/>
      <c r="V345" s="99"/>
      <c r="W345" s="55"/>
      <c r="X345" s="55"/>
      <c r="Y345" s="56"/>
      <c r="Z345" s="55"/>
      <c r="AA345" s="56"/>
      <c r="AB345" s="55"/>
      <c r="AC345" s="57" t="str">
        <f t="shared" si="38"/>
        <v/>
      </c>
      <c r="AD345" s="57" t="str">
        <f t="shared" si="39"/>
        <v/>
      </c>
      <c r="AE345" s="57" t="str">
        <f xml:space="preserve">
IF(OR('Dados da OS'!$D$8=Parâmetros!$B$3,'Dados da OS'!$D$8=Parâmetros!$B$4),
  IF(OR(ISBLANK(X345),ISBLANK(Z345)),
     IF(OR(V345="ALI",V345="AIE"),"L",IF(ISBLANK(V345),"","A")),
     IF(V345="EE",IF(Z345&gt;=3,IF(X345&gt;=5,"H","A"),
     IF(Z345&gt;=2,IF(X345&gt;=16,"H",IF(X345&lt;=4,"L","A")),IF(X345&lt;=15,"L","A"))),
     IF(OR(V345="SE",V345="CE"),IF(Z345&gt;=4,IF(X345&gt;=6,"H","A"),IF(Z345&gt;=2,IF(X345&gt;=20,"H",IF(X345&lt;=5,"L","A")),IF(X345&lt;=19,"L","A"))),
     IF(OR(V345="ALI",V345="AIE"),IF(Z345&gt;=6,IF(X345&gt;=20,"H","A"),IF(Z345&gt;=2,IF(X345&gt;=51,"H",IF(X345&lt;=19,"L","A")),IF(X345&lt;=50,"L","A"))))))),
IF('Dados da OS'!$D$8=Parâmetros!$B$6,"Indicativa",
IF('Dados da OS'!$D$8=Parâmetros!$B$5,"PFS","")))</f>
        <v/>
      </c>
      <c r="AF345" s="57">
        <f>IFERROR(VLOOKUP(W345,'Fatores de Impacto e INMs'!$A$3:$D$32,3,0),1)</f>
        <v>1</v>
      </c>
      <c r="AG345" s="57">
        <f>IFERROR(VLOOKUP(W345,'Fatores de Impacto e INMs'!$A$3:$E$32,5,0),1)</f>
        <v>1</v>
      </c>
      <c r="AH345" s="82" t="str">
        <f xml:space="preserve">
IF(OR('Dados da OS'!$D$8="Selecione o tipo da contagem",ISBLANK('Dados da OS'!$D$8),V345="INM",V345="N/A",ISBLANK(V345),ISBLANK(W345),AG345="VF"),"-",
   IF('Dados da OS'!$D$8=Parâmetros!$B$3,
      IF(OR(ISBLANK(X345),ISBLANK(Z345)),"-",
         IF(AE345="L","Baixa",IF(AE345="A","Média",IF(AE345="H","Alta","-")))),
      IF('Dados da OS'!$D$8=Parâmetros!$B$4,
         IF(OR(V345="ALI",V345="AIE"),"Baixa",IF(OR(V345="EE",V345="SE",V345="CE"),"Média","-")),
         IF(OR('Dados da OS'!$D$8=Parâmetros!$B$5,'Dados da OS'!$D$8=Parâmetros!$B$6),"-"))))</f>
        <v>-</v>
      </c>
      <c r="AI345" s="83" t="str">
        <f xml:space="preserve">
IF(OR(ISBLANK(V345),ISBLANK(U345),ISBLANK(W345),V345="N/A",ISBLANK('Dados da OS'!$D$8)),"",
   IF(OR('Dados da OS'!$D$8=Parâmetros!$B$3,'Dados da OS'!$D$8=Parâmetros!$B$4),
      IF(OR(AND(V345="INM",AG345&lt;&gt;"VF"),AND(AG345="VF",V345&lt;&gt;"INM")),"",
        IF(AND(V345="INM",AG345="VF"),IF(ISBLANK(AB345),"",AF345*AB345),
        IF('Dados da OS'!$D$8=Parâmetros!$B$4,
           IF(OR(V345="CE",V345="EE"),4,IF(V345="SE",5,IF(V345="ALI",7,IF(V345="AIE",5,"")))),
        IF('Dados da OS'!$D$8=Parâmetros!$B$3,
           IF(OR(ISBLANK(X345),ISBLANK(Z345)),"",
              IF(V345="ALI",IF(AE345="L",7,IF(AE345="A",10,15)),
                 IF(V345="AIE",IF(AE345="L",5,IF(AE345="A",7,10)),
                    IF(V345="SE",IF(AE345="L",4,IF(AE345="A",5,7)),
                       IF(OR(V345="EE",V345="CE"),IF(AE345="L",3,IF(AE345="A",4,6)),""))))))))),
   IF('Dados da OS'!$D$8=Parâmetros!$B$5,
      IF(OR(AND(V345="INM",AG345&lt;&gt;"VF"),AND(AG345="VF",V345&lt;&gt;"INM")),"",
         IF(V345="INM",IF(AG345="VF",AF345*AB345,""),
            IF(V345="PE",4.6,
            IF(V345="AL",7,"")))),
   IF('Dados da OS'!$D$8=Parâmetros!$B$6,
      IF(V345="ALI",35,IF(V345="AIE",15,"")),""))
    )
)</f>
        <v/>
      </c>
      <c r="AJ345" s="82" t="str">
        <f t="shared" si="40"/>
        <v/>
      </c>
      <c r="AK345" s="84"/>
      <c r="AL345" s="85" t="s">
        <v>21</v>
      </c>
      <c r="AM345" s="86"/>
      <c r="AN345" s="85"/>
      <c r="AO345" s="87"/>
      <c r="AP345" s="85"/>
      <c r="AQ345" s="86"/>
      <c r="AR345" s="85"/>
    </row>
    <row r="346" spans="1:44" ht="15.75" customHeight="1">
      <c r="A346" s="54"/>
      <c r="B346" s="100"/>
      <c r="C346" s="55"/>
      <c r="D346" s="55"/>
      <c r="E346" s="56"/>
      <c r="F346" s="55"/>
      <c r="G346" s="56"/>
      <c r="H346" s="55"/>
      <c r="I346" s="64"/>
      <c r="J346" s="57" t="str">
        <f t="shared" si="35"/>
        <v/>
      </c>
      <c r="K346" s="57" t="str">
        <f t="shared" si="36"/>
        <v/>
      </c>
      <c r="L346" s="57" t="str">
        <f xml:space="preserve">
IF(OR('Dados da OS'!$D$8=Parâmetros!$B$3,'Dados da OS'!$D$8=Parâmetros!$B$4),
  IF(OR(ISBLANK(D346),ISBLANK(F346)),
     IF(OR(B346="ALI",B346="AIE"),"L",IF(ISBLANK(B346),"","A")),
     IF(B346="EE",IF(F346&gt;=3,IF(D346&gt;=5,"H","A"),
     IF(F346&gt;=2,IF(D346&gt;=16,"H",IF(D346&lt;=4,"L","A")),IF(D346&lt;=15,"L","A"))),
     IF(OR(B346="SE",B346="CE"),IF(F346&gt;=4,IF(D346&gt;=6,"H","A"),IF(F346&gt;=2,IF(D346&gt;=20,"H",IF(D346&lt;=5,"L","A")),IF(D346&lt;=19,"L","A"))),
     IF(OR(B346="ALI",B346="AIE"),IF(F346&gt;=6,IF(D346&gt;=20,"H","A"),IF(F346&gt;=2,IF(D346&gt;=51,"H",IF(D346&lt;=19,"L","A")),IF(D346&lt;=50,"L","A"))))))),
IF('Dados da OS'!$D$8=Parâmetros!$B$6,"Indicativa",
IF('Dados da OS'!$D$8=Parâmetros!$B$5,"PFS","")))</f>
        <v/>
      </c>
      <c r="M346" s="57">
        <f>IFERROR(VLOOKUP(C346,'Fatores de Impacto e INMs'!$A$3:$D$32,3,0),1)</f>
        <v>1</v>
      </c>
      <c r="N346" s="57">
        <f>IFERROR(VLOOKUP(C346,'Fatores de Impacto e INMs'!$A$3:$E$32,5,0),1)</f>
        <v>1</v>
      </c>
      <c r="O346" s="63" t="str">
        <f xml:space="preserve">
IF(OR('Dados da OS'!$D$8="Selecione o tipo da contagem",ISBLANK('Dados da OS'!$D$8),B346="INM",B346="N/A",ISBLANK(B346),ISBLANK(C346),N346="VF"),"-",
   IF('Dados da OS'!$D$8=Parâmetros!$B$3,
      IF(OR(ISBLANK(D346),ISBLANK(F346)),"-",
         IF(L346="L","Baixa",IF(L346="A","Média",IF(L346="H","Alta","-")))),
      IF('Dados da OS'!$D$8=Parâmetros!$B$4,
         IF(OR(B346="ALI",B346="AIE"),"Baixa",IF(OR(B346="EE",B346="SE",B346="CE"),"Média","-")),
         IF(OR('Dados da OS'!$D$8=Parâmetros!$B$5,'Dados da OS'!$D$8=Parâmetros!$B$6),"-"))))</f>
        <v>-</v>
      </c>
      <c r="P346" s="59" t="str">
        <f xml:space="preserve">
IF(OR(ISBLANK(B346),ISBLANK(C346),B346="N/A",ISBLANK('Dados da OS'!$D$8)),"",
   IF(OR('Dados da OS'!$D$8=Parâmetros!$B$3,'Dados da OS'!$D$8=Parâmetros!$B$4),
      IF(OR(AND(B346="INM",N346&lt;&gt;"VF"),AND(N346="VF",B346&lt;&gt;"INM")),"",
        IF(AND(B346="INM",N346="VF"),IF(ISBLANK(H346),"",M346*H346),
        IF('Dados da OS'!$D$8=Parâmetros!$B$4,
           IF(OR(B346="CE",B346="EE"),4,IF(B346="SE",5,IF(B346="ALI",7,IF(B346="AIE",5,"")))),
        IF('Dados da OS'!$D$8=Parâmetros!$B$3,
           IF(OR(ISBLANK(D346),ISBLANK(F346)),"",
              IF(B346="ALI",IF(L346="L",7,IF(L346="A",10,15)),
                 IF(B346="AIE",IF(L346="L",5,IF(L346="A",7,10)),
                    IF(B346="SE",IF(L346="L",4,IF(L346="A",5,7)),
                       IF(OR(B346="EE",B346="CE"),IF(L346="L",3,IF(L346="A",4,6)),""))))))))),
   IF('Dados da OS'!$D$8=Parâmetros!$B$5,
      IF(OR(AND(B346="INM",N346&lt;&gt;"VF"),AND(N346="VF",B346&lt;&gt;"INM")),"",
         IF(B346="INM",IF(N346="VF",M346*H346,""),
            IF(B346="PE",4.6,
            IF(B346="AL",7,"")))),
   IF('Dados da OS'!$D$8=Parâmetros!$B$6,
      IF(B346="ALI",35,IF(B346="AIE",15,"")),""))
    )
)</f>
        <v/>
      </c>
      <c r="Q346" s="60" t="str">
        <f t="shared" si="37"/>
        <v/>
      </c>
      <c r="R346" s="61"/>
      <c r="S346" s="62"/>
      <c r="T346" s="80" t="s">
        <v>21</v>
      </c>
      <c r="U346" s="81"/>
      <c r="V346" s="99"/>
      <c r="W346" s="55"/>
      <c r="X346" s="55"/>
      <c r="Y346" s="56"/>
      <c r="Z346" s="55"/>
      <c r="AA346" s="56"/>
      <c r="AB346" s="55"/>
      <c r="AC346" s="57" t="str">
        <f t="shared" si="38"/>
        <v/>
      </c>
      <c r="AD346" s="57" t="str">
        <f t="shared" si="39"/>
        <v/>
      </c>
      <c r="AE346" s="57" t="str">
        <f xml:space="preserve">
IF(OR('Dados da OS'!$D$8=Parâmetros!$B$3,'Dados da OS'!$D$8=Parâmetros!$B$4),
  IF(OR(ISBLANK(X346),ISBLANK(Z346)),
     IF(OR(V346="ALI",V346="AIE"),"L",IF(ISBLANK(V346),"","A")),
     IF(V346="EE",IF(Z346&gt;=3,IF(X346&gt;=5,"H","A"),
     IF(Z346&gt;=2,IF(X346&gt;=16,"H",IF(X346&lt;=4,"L","A")),IF(X346&lt;=15,"L","A"))),
     IF(OR(V346="SE",V346="CE"),IF(Z346&gt;=4,IF(X346&gt;=6,"H","A"),IF(Z346&gt;=2,IF(X346&gt;=20,"H",IF(X346&lt;=5,"L","A")),IF(X346&lt;=19,"L","A"))),
     IF(OR(V346="ALI",V346="AIE"),IF(Z346&gt;=6,IF(X346&gt;=20,"H","A"),IF(Z346&gt;=2,IF(X346&gt;=51,"H",IF(X346&lt;=19,"L","A")),IF(X346&lt;=50,"L","A"))))))),
IF('Dados da OS'!$D$8=Parâmetros!$B$6,"Indicativa",
IF('Dados da OS'!$D$8=Parâmetros!$B$5,"PFS","")))</f>
        <v/>
      </c>
      <c r="AF346" s="57">
        <f>IFERROR(VLOOKUP(W346,'Fatores de Impacto e INMs'!$A$3:$D$32,3,0),1)</f>
        <v>1</v>
      </c>
      <c r="AG346" s="57">
        <f>IFERROR(VLOOKUP(W346,'Fatores de Impacto e INMs'!$A$3:$E$32,5,0),1)</f>
        <v>1</v>
      </c>
      <c r="AH346" s="82" t="str">
        <f xml:space="preserve">
IF(OR('Dados da OS'!$D$8="Selecione o tipo da contagem",ISBLANK('Dados da OS'!$D$8),V346="INM",V346="N/A",ISBLANK(V346),ISBLANK(W346),AG346="VF"),"-",
   IF('Dados da OS'!$D$8=Parâmetros!$B$3,
      IF(OR(ISBLANK(X346),ISBLANK(Z346)),"-",
         IF(AE346="L","Baixa",IF(AE346="A","Média",IF(AE346="H","Alta","-")))),
      IF('Dados da OS'!$D$8=Parâmetros!$B$4,
         IF(OR(V346="ALI",V346="AIE"),"Baixa",IF(OR(V346="EE",V346="SE",V346="CE"),"Média","-")),
         IF(OR('Dados da OS'!$D$8=Parâmetros!$B$5,'Dados da OS'!$D$8=Parâmetros!$B$6),"-"))))</f>
        <v>-</v>
      </c>
      <c r="AI346" s="83" t="str">
        <f xml:space="preserve">
IF(OR(ISBLANK(V346),ISBLANK(U346),ISBLANK(W346),V346="N/A",ISBLANK('Dados da OS'!$D$8)),"",
   IF(OR('Dados da OS'!$D$8=Parâmetros!$B$3,'Dados da OS'!$D$8=Parâmetros!$B$4),
      IF(OR(AND(V346="INM",AG346&lt;&gt;"VF"),AND(AG346="VF",V346&lt;&gt;"INM")),"",
        IF(AND(V346="INM",AG346="VF"),IF(ISBLANK(AB346),"",AF346*AB346),
        IF('Dados da OS'!$D$8=Parâmetros!$B$4,
           IF(OR(V346="CE",V346="EE"),4,IF(V346="SE",5,IF(V346="ALI",7,IF(V346="AIE",5,"")))),
        IF('Dados da OS'!$D$8=Parâmetros!$B$3,
           IF(OR(ISBLANK(X346),ISBLANK(Z346)),"",
              IF(V346="ALI",IF(AE346="L",7,IF(AE346="A",10,15)),
                 IF(V346="AIE",IF(AE346="L",5,IF(AE346="A",7,10)),
                    IF(V346="SE",IF(AE346="L",4,IF(AE346="A",5,7)),
                       IF(OR(V346="EE",V346="CE"),IF(AE346="L",3,IF(AE346="A",4,6)),""))))))))),
   IF('Dados da OS'!$D$8=Parâmetros!$B$5,
      IF(OR(AND(V346="INM",AG346&lt;&gt;"VF"),AND(AG346="VF",V346&lt;&gt;"INM")),"",
         IF(V346="INM",IF(AG346="VF",AF346*AB346,""),
            IF(V346="PE",4.6,
            IF(V346="AL",7,"")))),
   IF('Dados da OS'!$D$8=Parâmetros!$B$6,
      IF(V346="ALI",35,IF(V346="AIE",15,"")),""))
    )
)</f>
        <v/>
      </c>
      <c r="AJ346" s="82" t="str">
        <f t="shared" si="40"/>
        <v/>
      </c>
      <c r="AK346" s="84"/>
      <c r="AL346" s="85" t="s">
        <v>21</v>
      </c>
      <c r="AM346" s="86"/>
      <c r="AN346" s="85"/>
      <c r="AO346" s="87"/>
      <c r="AP346" s="85"/>
      <c r="AQ346" s="86"/>
      <c r="AR346" s="85"/>
    </row>
    <row r="347" spans="1:44" ht="15.75" customHeight="1">
      <c r="A347" s="54"/>
      <c r="B347" s="100"/>
      <c r="C347" s="55"/>
      <c r="D347" s="55"/>
      <c r="E347" s="56"/>
      <c r="F347" s="55"/>
      <c r="G347" s="56"/>
      <c r="H347" s="55"/>
      <c r="I347" s="64"/>
      <c r="J347" s="57" t="str">
        <f t="shared" si="35"/>
        <v/>
      </c>
      <c r="K347" s="57" t="str">
        <f t="shared" si="36"/>
        <v/>
      </c>
      <c r="L347" s="57" t="str">
        <f xml:space="preserve">
IF(OR('Dados da OS'!$D$8=Parâmetros!$B$3,'Dados da OS'!$D$8=Parâmetros!$B$4),
  IF(OR(ISBLANK(D347),ISBLANK(F347)),
     IF(OR(B347="ALI",B347="AIE"),"L",IF(ISBLANK(B347),"","A")),
     IF(B347="EE",IF(F347&gt;=3,IF(D347&gt;=5,"H","A"),
     IF(F347&gt;=2,IF(D347&gt;=16,"H",IF(D347&lt;=4,"L","A")),IF(D347&lt;=15,"L","A"))),
     IF(OR(B347="SE",B347="CE"),IF(F347&gt;=4,IF(D347&gt;=6,"H","A"),IF(F347&gt;=2,IF(D347&gt;=20,"H",IF(D347&lt;=5,"L","A")),IF(D347&lt;=19,"L","A"))),
     IF(OR(B347="ALI",B347="AIE"),IF(F347&gt;=6,IF(D347&gt;=20,"H","A"),IF(F347&gt;=2,IF(D347&gt;=51,"H",IF(D347&lt;=19,"L","A")),IF(D347&lt;=50,"L","A"))))))),
IF('Dados da OS'!$D$8=Parâmetros!$B$6,"Indicativa",
IF('Dados da OS'!$D$8=Parâmetros!$B$5,"PFS","")))</f>
        <v/>
      </c>
      <c r="M347" s="57">
        <f>IFERROR(VLOOKUP(C347,'Fatores de Impacto e INMs'!$A$3:$D$32,3,0),1)</f>
        <v>1</v>
      </c>
      <c r="N347" s="57">
        <f>IFERROR(VLOOKUP(C347,'Fatores de Impacto e INMs'!$A$3:$E$32,5,0),1)</f>
        <v>1</v>
      </c>
      <c r="O347" s="63" t="str">
        <f xml:space="preserve">
IF(OR('Dados da OS'!$D$8="Selecione o tipo da contagem",ISBLANK('Dados da OS'!$D$8),B347="INM",B347="N/A",ISBLANK(B347),ISBLANK(C347),N347="VF"),"-",
   IF('Dados da OS'!$D$8=Parâmetros!$B$3,
      IF(OR(ISBLANK(D347),ISBLANK(F347)),"-",
         IF(L347="L","Baixa",IF(L347="A","Média",IF(L347="H","Alta","-")))),
      IF('Dados da OS'!$D$8=Parâmetros!$B$4,
         IF(OR(B347="ALI",B347="AIE"),"Baixa",IF(OR(B347="EE",B347="SE",B347="CE"),"Média","-")),
         IF(OR('Dados da OS'!$D$8=Parâmetros!$B$5,'Dados da OS'!$D$8=Parâmetros!$B$6),"-"))))</f>
        <v>-</v>
      </c>
      <c r="P347" s="59" t="str">
        <f xml:space="preserve">
IF(OR(ISBLANK(B347),ISBLANK(C347),B347="N/A",ISBLANK('Dados da OS'!$D$8)),"",
   IF(OR('Dados da OS'!$D$8=Parâmetros!$B$3,'Dados da OS'!$D$8=Parâmetros!$B$4),
      IF(OR(AND(B347="INM",N347&lt;&gt;"VF"),AND(N347="VF",B347&lt;&gt;"INM")),"",
        IF(AND(B347="INM",N347="VF"),IF(ISBLANK(H347),"",M347*H347),
        IF('Dados da OS'!$D$8=Parâmetros!$B$4,
           IF(OR(B347="CE",B347="EE"),4,IF(B347="SE",5,IF(B347="ALI",7,IF(B347="AIE",5,"")))),
        IF('Dados da OS'!$D$8=Parâmetros!$B$3,
           IF(OR(ISBLANK(D347),ISBLANK(F347)),"",
              IF(B347="ALI",IF(L347="L",7,IF(L347="A",10,15)),
                 IF(B347="AIE",IF(L347="L",5,IF(L347="A",7,10)),
                    IF(B347="SE",IF(L347="L",4,IF(L347="A",5,7)),
                       IF(OR(B347="EE",B347="CE"),IF(L347="L",3,IF(L347="A",4,6)),""))))))))),
   IF('Dados da OS'!$D$8=Parâmetros!$B$5,
      IF(OR(AND(B347="INM",N347&lt;&gt;"VF"),AND(N347="VF",B347&lt;&gt;"INM")),"",
         IF(B347="INM",IF(N347="VF",M347*H347,""),
            IF(B347="PE",4.6,
            IF(B347="AL",7,"")))),
   IF('Dados da OS'!$D$8=Parâmetros!$B$6,
      IF(B347="ALI",35,IF(B347="AIE",15,"")),""))
    )
)</f>
        <v/>
      </c>
      <c r="Q347" s="60" t="str">
        <f t="shared" si="37"/>
        <v/>
      </c>
      <c r="R347" s="61"/>
      <c r="S347" s="62"/>
      <c r="T347" s="80" t="s">
        <v>21</v>
      </c>
      <c r="U347" s="81"/>
      <c r="V347" s="99"/>
      <c r="W347" s="55"/>
      <c r="X347" s="55"/>
      <c r="Y347" s="56"/>
      <c r="Z347" s="55"/>
      <c r="AA347" s="56"/>
      <c r="AB347" s="55"/>
      <c r="AC347" s="57" t="str">
        <f t="shared" si="38"/>
        <v/>
      </c>
      <c r="AD347" s="57" t="str">
        <f t="shared" si="39"/>
        <v/>
      </c>
      <c r="AE347" s="57" t="str">
        <f xml:space="preserve">
IF(OR('Dados da OS'!$D$8=Parâmetros!$B$3,'Dados da OS'!$D$8=Parâmetros!$B$4),
  IF(OR(ISBLANK(X347),ISBLANK(Z347)),
     IF(OR(V347="ALI",V347="AIE"),"L",IF(ISBLANK(V347),"","A")),
     IF(V347="EE",IF(Z347&gt;=3,IF(X347&gt;=5,"H","A"),
     IF(Z347&gt;=2,IF(X347&gt;=16,"H",IF(X347&lt;=4,"L","A")),IF(X347&lt;=15,"L","A"))),
     IF(OR(V347="SE",V347="CE"),IF(Z347&gt;=4,IF(X347&gt;=6,"H","A"),IF(Z347&gt;=2,IF(X347&gt;=20,"H",IF(X347&lt;=5,"L","A")),IF(X347&lt;=19,"L","A"))),
     IF(OR(V347="ALI",V347="AIE"),IF(Z347&gt;=6,IF(X347&gt;=20,"H","A"),IF(Z347&gt;=2,IF(X347&gt;=51,"H",IF(X347&lt;=19,"L","A")),IF(X347&lt;=50,"L","A"))))))),
IF('Dados da OS'!$D$8=Parâmetros!$B$6,"Indicativa",
IF('Dados da OS'!$D$8=Parâmetros!$B$5,"PFS","")))</f>
        <v/>
      </c>
      <c r="AF347" s="57">
        <f>IFERROR(VLOOKUP(W347,'Fatores de Impacto e INMs'!$A$3:$D$32,3,0),1)</f>
        <v>1</v>
      </c>
      <c r="AG347" s="57">
        <f>IFERROR(VLOOKUP(W347,'Fatores de Impacto e INMs'!$A$3:$E$32,5,0),1)</f>
        <v>1</v>
      </c>
      <c r="AH347" s="82" t="str">
        <f xml:space="preserve">
IF(OR('Dados da OS'!$D$8="Selecione o tipo da contagem",ISBLANK('Dados da OS'!$D$8),V347="INM",V347="N/A",ISBLANK(V347),ISBLANK(W347),AG347="VF"),"-",
   IF('Dados da OS'!$D$8=Parâmetros!$B$3,
      IF(OR(ISBLANK(X347),ISBLANK(Z347)),"-",
         IF(AE347="L","Baixa",IF(AE347="A","Média",IF(AE347="H","Alta","-")))),
      IF('Dados da OS'!$D$8=Parâmetros!$B$4,
         IF(OR(V347="ALI",V347="AIE"),"Baixa",IF(OR(V347="EE",V347="SE",V347="CE"),"Média","-")),
         IF(OR('Dados da OS'!$D$8=Parâmetros!$B$5,'Dados da OS'!$D$8=Parâmetros!$B$6),"-"))))</f>
        <v>-</v>
      </c>
      <c r="AI347" s="83" t="str">
        <f xml:space="preserve">
IF(OR(ISBLANK(V347),ISBLANK(U347),ISBLANK(W347),V347="N/A",ISBLANK('Dados da OS'!$D$8)),"",
   IF(OR('Dados da OS'!$D$8=Parâmetros!$B$3,'Dados da OS'!$D$8=Parâmetros!$B$4),
      IF(OR(AND(V347="INM",AG347&lt;&gt;"VF"),AND(AG347="VF",V347&lt;&gt;"INM")),"",
        IF(AND(V347="INM",AG347="VF"),IF(ISBLANK(AB347),"",AF347*AB347),
        IF('Dados da OS'!$D$8=Parâmetros!$B$4,
           IF(OR(V347="CE",V347="EE"),4,IF(V347="SE",5,IF(V347="ALI",7,IF(V347="AIE",5,"")))),
        IF('Dados da OS'!$D$8=Parâmetros!$B$3,
           IF(OR(ISBLANK(X347),ISBLANK(Z347)),"",
              IF(V347="ALI",IF(AE347="L",7,IF(AE347="A",10,15)),
                 IF(V347="AIE",IF(AE347="L",5,IF(AE347="A",7,10)),
                    IF(V347="SE",IF(AE347="L",4,IF(AE347="A",5,7)),
                       IF(OR(V347="EE",V347="CE"),IF(AE347="L",3,IF(AE347="A",4,6)),""))))))))),
   IF('Dados da OS'!$D$8=Parâmetros!$B$5,
      IF(OR(AND(V347="INM",AG347&lt;&gt;"VF"),AND(AG347="VF",V347&lt;&gt;"INM")),"",
         IF(V347="INM",IF(AG347="VF",AF347*AB347,""),
            IF(V347="PE",4.6,
            IF(V347="AL",7,"")))),
   IF('Dados da OS'!$D$8=Parâmetros!$B$6,
      IF(V347="ALI",35,IF(V347="AIE",15,"")),""))
    )
)</f>
        <v/>
      </c>
      <c r="AJ347" s="82" t="str">
        <f t="shared" si="40"/>
        <v/>
      </c>
      <c r="AK347" s="84"/>
      <c r="AL347" s="85" t="s">
        <v>21</v>
      </c>
      <c r="AM347" s="86"/>
      <c r="AN347" s="85"/>
      <c r="AO347" s="87"/>
      <c r="AP347" s="85"/>
      <c r="AQ347" s="86"/>
      <c r="AR347" s="85"/>
    </row>
    <row r="348" spans="1:44" ht="15.75" customHeight="1">
      <c r="A348" s="54"/>
      <c r="B348" s="100"/>
      <c r="C348" s="55"/>
      <c r="D348" s="55"/>
      <c r="E348" s="56"/>
      <c r="F348" s="55"/>
      <c r="G348" s="56"/>
      <c r="H348" s="55"/>
      <c r="I348" s="64"/>
      <c r="J348" s="57" t="str">
        <f t="shared" si="35"/>
        <v/>
      </c>
      <c r="K348" s="57" t="str">
        <f t="shared" si="36"/>
        <v/>
      </c>
      <c r="L348" s="57" t="str">
        <f xml:space="preserve">
IF(OR('Dados da OS'!$D$8=Parâmetros!$B$3,'Dados da OS'!$D$8=Parâmetros!$B$4),
  IF(OR(ISBLANK(D348),ISBLANK(F348)),
     IF(OR(B348="ALI",B348="AIE"),"L",IF(ISBLANK(B348),"","A")),
     IF(B348="EE",IF(F348&gt;=3,IF(D348&gt;=5,"H","A"),
     IF(F348&gt;=2,IF(D348&gt;=16,"H",IF(D348&lt;=4,"L","A")),IF(D348&lt;=15,"L","A"))),
     IF(OR(B348="SE",B348="CE"),IF(F348&gt;=4,IF(D348&gt;=6,"H","A"),IF(F348&gt;=2,IF(D348&gt;=20,"H",IF(D348&lt;=5,"L","A")),IF(D348&lt;=19,"L","A"))),
     IF(OR(B348="ALI",B348="AIE"),IF(F348&gt;=6,IF(D348&gt;=20,"H","A"),IF(F348&gt;=2,IF(D348&gt;=51,"H",IF(D348&lt;=19,"L","A")),IF(D348&lt;=50,"L","A"))))))),
IF('Dados da OS'!$D$8=Parâmetros!$B$6,"Indicativa",
IF('Dados da OS'!$D$8=Parâmetros!$B$5,"PFS","")))</f>
        <v/>
      </c>
      <c r="M348" s="57">
        <f>IFERROR(VLOOKUP(C348,'Fatores de Impacto e INMs'!$A$3:$D$32,3,0),1)</f>
        <v>1</v>
      </c>
      <c r="N348" s="57">
        <f>IFERROR(VLOOKUP(C348,'Fatores de Impacto e INMs'!$A$3:$E$32,5,0),1)</f>
        <v>1</v>
      </c>
      <c r="O348" s="63" t="str">
        <f xml:space="preserve">
IF(OR('Dados da OS'!$D$8="Selecione o tipo da contagem",ISBLANK('Dados da OS'!$D$8),B348="INM",B348="N/A",ISBLANK(B348),ISBLANK(C348),N348="VF"),"-",
   IF('Dados da OS'!$D$8=Parâmetros!$B$3,
      IF(OR(ISBLANK(D348),ISBLANK(F348)),"-",
         IF(L348="L","Baixa",IF(L348="A","Média",IF(L348="H","Alta","-")))),
      IF('Dados da OS'!$D$8=Parâmetros!$B$4,
         IF(OR(B348="ALI",B348="AIE"),"Baixa",IF(OR(B348="EE",B348="SE",B348="CE"),"Média","-")),
         IF(OR('Dados da OS'!$D$8=Parâmetros!$B$5,'Dados da OS'!$D$8=Parâmetros!$B$6),"-"))))</f>
        <v>-</v>
      </c>
      <c r="P348" s="59" t="str">
        <f xml:space="preserve">
IF(OR(ISBLANK(B348),ISBLANK(C348),B348="N/A",ISBLANK('Dados da OS'!$D$8)),"",
   IF(OR('Dados da OS'!$D$8=Parâmetros!$B$3,'Dados da OS'!$D$8=Parâmetros!$B$4),
      IF(OR(AND(B348="INM",N348&lt;&gt;"VF"),AND(N348="VF",B348&lt;&gt;"INM")),"",
        IF(AND(B348="INM",N348="VF"),IF(ISBLANK(H348),"",M348*H348),
        IF('Dados da OS'!$D$8=Parâmetros!$B$4,
           IF(OR(B348="CE",B348="EE"),4,IF(B348="SE",5,IF(B348="ALI",7,IF(B348="AIE",5,"")))),
        IF('Dados da OS'!$D$8=Parâmetros!$B$3,
           IF(OR(ISBLANK(D348),ISBLANK(F348)),"",
              IF(B348="ALI",IF(L348="L",7,IF(L348="A",10,15)),
                 IF(B348="AIE",IF(L348="L",5,IF(L348="A",7,10)),
                    IF(B348="SE",IF(L348="L",4,IF(L348="A",5,7)),
                       IF(OR(B348="EE",B348="CE"),IF(L348="L",3,IF(L348="A",4,6)),""))))))))),
   IF('Dados da OS'!$D$8=Parâmetros!$B$5,
      IF(OR(AND(B348="INM",N348&lt;&gt;"VF"),AND(N348="VF",B348&lt;&gt;"INM")),"",
         IF(B348="INM",IF(N348="VF",M348*H348,""),
            IF(B348="PE",4.6,
            IF(B348="AL",7,"")))),
   IF('Dados da OS'!$D$8=Parâmetros!$B$6,
      IF(B348="ALI",35,IF(B348="AIE",15,"")),""))
    )
)</f>
        <v/>
      </c>
      <c r="Q348" s="60" t="str">
        <f t="shared" si="37"/>
        <v/>
      </c>
      <c r="R348" s="61"/>
      <c r="S348" s="62"/>
      <c r="T348" s="80" t="s">
        <v>21</v>
      </c>
      <c r="U348" s="81"/>
      <c r="V348" s="99"/>
      <c r="W348" s="55"/>
      <c r="X348" s="55"/>
      <c r="Y348" s="56"/>
      <c r="Z348" s="55"/>
      <c r="AA348" s="56"/>
      <c r="AB348" s="55"/>
      <c r="AC348" s="57" t="str">
        <f t="shared" si="38"/>
        <v/>
      </c>
      <c r="AD348" s="57" t="str">
        <f t="shared" si="39"/>
        <v/>
      </c>
      <c r="AE348" s="57" t="str">
        <f xml:space="preserve">
IF(OR('Dados da OS'!$D$8=Parâmetros!$B$3,'Dados da OS'!$D$8=Parâmetros!$B$4),
  IF(OR(ISBLANK(X348),ISBLANK(Z348)),
     IF(OR(V348="ALI",V348="AIE"),"L",IF(ISBLANK(V348),"","A")),
     IF(V348="EE",IF(Z348&gt;=3,IF(X348&gt;=5,"H","A"),
     IF(Z348&gt;=2,IF(X348&gt;=16,"H",IF(X348&lt;=4,"L","A")),IF(X348&lt;=15,"L","A"))),
     IF(OR(V348="SE",V348="CE"),IF(Z348&gt;=4,IF(X348&gt;=6,"H","A"),IF(Z348&gt;=2,IF(X348&gt;=20,"H",IF(X348&lt;=5,"L","A")),IF(X348&lt;=19,"L","A"))),
     IF(OR(V348="ALI",V348="AIE"),IF(Z348&gt;=6,IF(X348&gt;=20,"H","A"),IF(Z348&gt;=2,IF(X348&gt;=51,"H",IF(X348&lt;=19,"L","A")),IF(X348&lt;=50,"L","A"))))))),
IF('Dados da OS'!$D$8=Parâmetros!$B$6,"Indicativa",
IF('Dados da OS'!$D$8=Parâmetros!$B$5,"PFS","")))</f>
        <v/>
      </c>
      <c r="AF348" s="57">
        <f>IFERROR(VLOOKUP(W348,'Fatores de Impacto e INMs'!$A$3:$D$32,3,0),1)</f>
        <v>1</v>
      </c>
      <c r="AG348" s="57">
        <f>IFERROR(VLOOKUP(W348,'Fatores de Impacto e INMs'!$A$3:$E$32,5,0),1)</f>
        <v>1</v>
      </c>
      <c r="AH348" s="82" t="str">
        <f xml:space="preserve">
IF(OR('Dados da OS'!$D$8="Selecione o tipo da contagem",ISBLANK('Dados da OS'!$D$8),V348="INM",V348="N/A",ISBLANK(V348),ISBLANK(W348),AG348="VF"),"-",
   IF('Dados da OS'!$D$8=Parâmetros!$B$3,
      IF(OR(ISBLANK(X348),ISBLANK(Z348)),"-",
         IF(AE348="L","Baixa",IF(AE348="A","Média",IF(AE348="H","Alta","-")))),
      IF('Dados da OS'!$D$8=Parâmetros!$B$4,
         IF(OR(V348="ALI",V348="AIE"),"Baixa",IF(OR(V348="EE",V348="SE",V348="CE"),"Média","-")),
         IF(OR('Dados da OS'!$D$8=Parâmetros!$B$5,'Dados da OS'!$D$8=Parâmetros!$B$6),"-"))))</f>
        <v>-</v>
      </c>
      <c r="AI348" s="83" t="str">
        <f xml:space="preserve">
IF(OR(ISBLANK(V348),ISBLANK(U348),ISBLANK(W348),V348="N/A",ISBLANK('Dados da OS'!$D$8)),"",
   IF(OR('Dados da OS'!$D$8=Parâmetros!$B$3,'Dados da OS'!$D$8=Parâmetros!$B$4),
      IF(OR(AND(V348="INM",AG348&lt;&gt;"VF"),AND(AG348="VF",V348&lt;&gt;"INM")),"",
        IF(AND(V348="INM",AG348="VF"),IF(ISBLANK(AB348),"",AF348*AB348),
        IF('Dados da OS'!$D$8=Parâmetros!$B$4,
           IF(OR(V348="CE",V348="EE"),4,IF(V348="SE",5,IF(V348="ALI",7,IF(V348="AIE",5,"")))),
        IF('Dados da OS'!$D$8=Parâmetros!$B$3,
           IF(OR(ISBLANK(X348),ISBLANK(Z348)),"",
              IF(V348="ALI",IF(AE348="L",7,IF(AE348="A",10,15)),
                 IF(V348="AIE",IF(AE348="L",5,IF(AE348="A",7,10)),
                    IF(V348="SE",IF(AE348="L",4,IF(AE348="A",5,7)),
                       IF(OR(V348="EE",V348="CE"),IF(AE348="L",3,IF(AE348="A",4,6)),""))))))))),
   IF('Dados da OS'!$D$8=Parâmetros!$B$5,
      IF(OR(AND(V348="INM",AG348&lt;&gt;"VF"),AND(AG348="VF",V348&lt;&gt;"INM")),"",
         IF(V348="INM",IF(AG348="VF",AF348*AB348,""),
            IF(V348="PE",4.6,
            IF(V348="AL",7,"")))),
   IF('Dados da OS'!$D$8=Parâmetros!$B$6,
      IF(V348="ALI",35,IF(V348="AIE",15,"")),""))
    )
)</f>
        <v/>
      </c>
      <c r="AJ348" s="82" t="str">
        <f t="shared" si="40"/>
        <v/>
      </c>
      <c r="AK348" s="84"/>
      <c r="AL348" s="85" t="s">
        <v>21</v>
      </c>
      <c r="AM348" s="86"/>
      <c r="AN348" s="85"/>
      <c r="AO348" s="87"/>
      <c r="AP348" s="85"/>
      <c r="AQ348" s="86"/>
      <c r="AR348" s="85"/>
    </row>
    <row r="349" spans="1:44" ht="15.75" customHeight="1">
      <c r="A349" s="54"/>
      <c r="B349" s="100"/>
      <c r="C349" s="55"/>
      <c r="D349" s="55"/>
      <c r="E349" s="56"/>
      <c r="F349" s="55"/>
      <c r="G349" s="56"/>
      <c r="H349" s="55"/>
      <c r="I349" s="64"/>
      <c r="J349" s="57" t="str">
        <f t="shared" si="35"/>
        <v/>
      </c>
      <c r="K349" s="57" t="str">
        <f t="shared" si="36"/>
        <v/>
      </c>
      <c r="L349" s="57" t="str">
        <f xml:space="preserve">
IF(OR('Dados da OS'!$D$8=Parâmetros!$B$3,'Dados da OS'!$D$8=Parâmetros!$B$4),
  IF(OR(ISBLANK(D349),ISBLANK(F349)),
     IF(OR(B349="ALI",B349="AIE"),"L",IF(ISBLANK(B349),"","A")),
     IF(B349="EE",IF(F349&gt;=3,IF(D349&gt;=5,"H","A"),
     IF(F349&gt;=2,IF(D349&gt;=16,"H",IF(D349&lt;=4,"L","A")),IF(D349&lt;=15,"L","A"))),
     IF(OR(B349="SE",B349="CE"),IF(F349&gt;=4,IF(D349&gt;=6,"H","A"),IF(F349&gt;=2,IF(D349&gt;=20,"H",IF(D349&lt;=5,"L","A")),IF(D349&lt;=19,"L","A"))),
     IF(OR(B349="ALI",B349="AIE"),IF(F349&gt;=6,IF(D349&gt;=20,"H","A"),IF(F349&gt;=2,IF(D349&gt;=51,"H",IF(D349&lt;=19,"L","A")),IF(D349&lt;=50,"L","A"))))))),
IF('Dados da OS'!$D$8=Parâmetros!$B$6,"Indicativa",
IF('Dados da OS'!$D$8=Parâmetros!$B$5,"PFS","")))</f>
        <v/>
      </c>
      <c r="M349" s="57">
        <f>IFERROR(VLOOKUP(C349,'Fatores de Impacto e INMs'!$A$3:$D$32,3,0),1)</f>
        <v>1</v>
      </c>
      <c r="N349" s="57">
        <f>IFERROR(VLOOKUP(C349,'Fatores de Impacto e INMs'!$A$3:$E$32,5,0),1)</f>
        <v>1</v>
      </c>
      <c r="O349" s="63" t="str">
        <f xml:space="preserve">
IF(OR('Dados da OS'!$D$8="Selecione o tipo da contagem",ISBLANK('Dados da OS'!$D$8),B349="INM",B349="N/A",ISBLANK(B349),ISBLANK(C349),N349="VF"),"-",
   IF('Dados da OS'!$D$8=Parâmetros!$B$3,
      IF(OR(ISBLANK(D349),ISBLANK(F349)),"-",
         IF(L349="L","Baixa",IF(L349="A","Média",IF(L349="H","Alta","-")))),
      IF('Dados da OS'!$D$8=Parâmetros!$B$4,
         IF(OR(B349="ALI",B349="AIE"),"Baixa",IF(OR(B349="EE",B349="SE",B349="CE"),"Média","-")),
         IF(OR('Dados da OS'!$D$8=Parâmetros!$B$5,'Dados da OS'!$D$8=Parâmetros!$B$6),"-"))))</f>
        <v>-</v>
      </c>
      <c r="P349" s="59" t="str">
        <f xml:space="preserve">
IF(OR(ISBLANK(B349),ISBLANK(C349),B349="N/A",ISBLANK('Dados da OS'!$D$8)),"",
   IF(OR('Dados da OS'!$D$8=Parâmetros!$B$3,'Dados da OS'!$D$8=Parâmetros!$B$4),
      IF(OR(AND(B349="INM",N349&lt;&gt;"VF"),AND(N349="VF",B349&lt;&gt;"INM")),"",
        IF(AND(B349="INM",N349="VF"),IF(ISBLANK(H349),"",M349*H349),
        IF('Dados da OS'!$D$8=Parâmetros!$B$4,
           IF(OR(B349="CE",B349="EE"),4,IF(B349="SE",5,IF(B349="ALI",7,IF(B349="AIE",5,"")))),
        IF('Dados da OS'!$D$8=Parâmetros!$B$3,
           IF(OR(ISBLANK(D349),ISBLANK(F349)),"",
              IF(B349="ALI",IF(L349="L",7,IF(L349="A",10,15)),
                 IF(B349="AIE",IF(L349="L",5,IF(L349="A",7,10)),
                    IF(B349="SE",IF(L349="L",4,IF(L349="A",5,7)),
                       IF(OR(B349="EE",B349="CE"),IF(L349="L",3,IF(L349="A",4,6)),""))))))))),
   IF('Dados da OS'!$D$8=Parâmetros!$B$5,
      IF(OR(AND(B349="INM",N349&lt;&gt;"VF"),AND(N349="VF",B349&lt;&gt;"INM")),"",
         IF(B349="INM",IF(N349="VF",M349*H349,""),
            IF(B349="PE",4.6,
            IF(B349="AL",7,"")))),
   IF('Dados da OS'!$D$8=Parâmetros!$B$6,
      IF(B349="ALI",35,IF(B349="AIE",15,"")),""))
    )
)</f>
        <v/>
      </c>
      <c r="Q349" s="60" t="str">
        <f t="shared" si="37"/>
        <v/>
      </c>
      <c r="R349" s="61"/>
      <c r="S349" s="62"/>
      <c r="T349" s="80" t="s">
        <v>21</v>
      </c>
      <c r="U349" s="81"/>
      <c r="V349" s="99"/>
      <c r="W349" s="55"/>
      <c r="X349" s="55"/>
      <c r="Y349" s="56"/>
      <c r="Z349" s="55"/>
      <c r="AA349" s="56"/>
      <c r="AB349" s="55"/>
      <c r="AC349" s="57" t="str">
        <f t="shared" si="38"/>
        <v/>
      </c>
      <c r="AD349" s="57" t="str">
        <f t="shared" si="39"/>
        <v/>
      </c>
      <c r="AE349" s="57" t="str">
        <f xml:space="preserve">
IF(OR('Dados da OS'!$D$8=Parâmetros!$B$3,'Dados da OS'!$D$8=Parâmetros!$B$4),
  IF(OR(ISBLANK(X349),ISBLANK(Z349)),
     IF(OR(V349="ALI",V349="AIE"),"L",IF(ISBLANK(V349),"","A")),
     IF(V349="EE",IF(Z349&gt;=3,IF(X349&gt;=5,"H","A"),
     IF(Z349&gt;=2,IF(X349&gt;=16,"H",IF(X349&lt;=4,"L","A")),IF(X349&lt;=15,"L","A"))),
     IF(OR(V349="SE",V349="CE"),IF(Z349&gt;=4,IF(X349&gt;=6,"H","A"),IF(Z349&gt;=2,IF(X349&gt;=20,"H",IF(X349&lt;=5,"L","A")),IF(X349&lt;=19,"L","A"))),
     IF(OR(V349="ALI",V349="AIE"),IF(Z349&gt;=6,IF(X349&gt;=20,"H","A"),IF(Z349&gt;=2,IF(X349&gt;=51,"H",IF(X349&lt;=19,"L","A")),IF(X349&lt;=50,"L","A"))))))),
IF('Dados da OS'!$D$8=Parâmetros!$B$6,"Indicativa",
IF('Dados da OS'!$D$8=Parâmetros!$B$5,"PFS","")))</f>
        <v/>
      </c>
      <c r="AF349" s="57">
        <f>IFERROR(VLOOKUP(W349,'Fatores de Impacto e INMs'!$A$3:$D$32,3,0),1)</f>
        <v>1</v>
      </c>
      <c r="AG349" s="57">
        <f>IFERROR(VLOOKUP(W349,'Fatores de Impacto e INMs'!$A$3:$E$32,5,0),1)</f>
        <v>1</v>
      </c>
      <c r="AH349" s="82" t="str">
        <f xml:space="preserve">
IF(OR('Dados da OS'!$D$8="Selecione o tipo da contagem",ISBLANK('Dados da OS'!$D$8),V349="INM",V349="N/A",ISBLANK(V349),ISBLANK(W349),AG349="VF"),"-",
   IF('Dados da OS'!$D$8=Parâmetros!$B$3,
      IF(OR(ISBLANK(X349),ISBLANK(Z349)),"-",
         IF(AE349="L","Baixa",IF(AE349="A","Média",IF(AE349="H","Alta","-")))),
      IF('Dados da OS'!$D$8=Parâmetros!$B$4,
         IF(OR(V349="ALI",V349="AIE"),"Baixa",IF(OR(V349="EE",V349="SE",V349="CE"),"Média","-")),
         IF(OR('Dados da OS'!$D$8=Parâmetros!$B$5,'Dados da OS'!$D$8=Parâmetros!$B$6),"-"))))</f>
        <v>-</v>
      </c>
      <c r="AI349" s="83" t="str">
        <f xml:space="preserve">
IF(OR(ISBLANK(V349),ISBLANK(U349),ISBLANK(W349),V349="N/A",ISBLANK('Dados da OS'!$D$8)),"",
   IF(OR('Dados da OS'!$D$8=Parâmetros!$B$3,'Dados da OS'!$D$8=Parâmetros!$B$4),
      IF(OR(AND(V349="INM",AG349&lt;&gt;"VF"),AND(AG349="VF",V349&lt;&gt;"INM")),"",
        IF(AND(V349="INM",AG349="VF"),IF(ISBLANK(AB349),"",AF349*AB349),
        IF('Dados da OS'!$D$8=Parâmetros!$B$4,
           IF(OR(V349="CE",V349="EE"),4,IF(V349="SE",5,IF(V349="ALI",7,IF(V349="AIE",5,"")))),
        IF('Dados da OS'!$D$8=Parâmetros!$B$3,
           IF(OR(ISBLANK(X349),ISBLANK(Z349)),"",
              IF(V349="ALI",IF(AE349="L",7,IF(AE349="A",10,15)),
                 IF(V349="AIE",IF(AE349="L",5,IF(AE349="A",7,10)),
                    IF(V349="SE",IF(AE349="L",4,IF(AE349="A",5,7)),
                       IF(OR(V349="EE",V349="CE"),IF(AE349="L",3,IF(AE349="A",4,6)),""))))))))),
   IF('Dados da OS'!$D$8=Parâmetros!$B$5,
      IF(OR(AND(V349="INM",AG349&lt;&gt;"VF"),AND(AG349="VF",V349&lt;&gt;"INM")),"",
         IF(V349="INM",IF(AG349="VF",AF349*AB349,""),
            IF(V349="PE",4.6,
            IF(V349="AL",7,"")))),
   IF('Dados da OS'!$D$8=Parâmetros!$B$6,
      IF(V349="ALI",35,IF(V349="AIE",15,"")),""))
    )
)</f>
        <v/>
      </c>
      <c r="AJ349" s="82" t="str">
        <f t="shared" si="40"/>
        <v/>
      </c>
      <c r="AK349" s="84"/>
      <c r="AL349" s="85" t="s">
        <v>21</v>
      </c>
      <c r="AM349" s="86"/>
      <c r="AN349" s="85"/>
      <c r="AO349" s="87"/>
      <c r="AP349" s="85"/>
      <c r="AQ349" s="86"/>
      <c r="AR349" s="85"/>
    </row>
    <row r="350" spans="1:44" ht="15.75" customHeight="1">
      <c r="A350" s="54"/>
      <c r="B350" s="100"/>
      <c r="C350" s="55"/>
      <c r="D350" s="55"/>
      <c r="E350" s="56"/>
      <c r="F350" s="55"/>
      <c r="G350" s="56"/>
      <c r="H350" s="55"/>
      <c r="I350" s="64"/>
      <c r="J350" s="57" t="str">
        <f t="shared" si="35"/>
        <v/>
      </c>
      <c r="K350" s="57" t="str">
        <f t="shared" si="36"/>
        <v/>
      </c>
      <c r="L350" s="57" t="str">
        <f xml:space="preserve">
IF(OR('Dados da OS'!$D$8=Parâmetros!$B$3,'Dados da OS'!$D$8=Parâmetros!$B$4),
  IF(OR(ISBLANK(D350),ISBLANK(F350)),
     IF(OR(B350="ALI",B350="AIE"),"L",IF(ISBLANK(B350),"","A")),
     IF(B350="EE",IF(F350&gt;=3,IF(D350&gt;=5,"H","A"),
     IF(F350&gt;=2,IF(D350&gt;=16,"H",IF(D350&lt;=4,"L","A")),IF(D350&lt;=15,"L","A"))),
     IF(OR(B350="SE",B350="CE"),IF(F350&gt;=4,IF(D350&gt;=6,"H","A"),IF(F350&gt;=2,IF(D350&gt;=20,"H",IF(D350&lt;=5,"L","A")),IF(D350&lt;=19,"L","A"))),
     IF(OR(B350="ALI",B350="AIE"),IF(F350&gt;=6,IF(D350&gt;=20,"H","A"),IF(F350&gt;=2,IF(D350&gt;=51,"H",IF(D350&lt;=19,"L","A")),IF(D350&lt;=50,"L","A"))))))),
IF('Dados da OS'!$D$8=Parâmetros!$B$6,"Indicativa",
IF('Dados da OS'!$D$8=Parâmetros!$B$5,"PFS","")))</f>
        <v/>
      </c>
      <c r="M350" s="57">
        <f>IFERROR(VLOOKUP(C350,'Fatores de Impacto e INMs'!$A$3:$D$32,3,0),1)</f>
        <v>1</v>
      </c>
      <c r="N350" s="57">
        <f>IFERROR(VLOOKUP(C350,'Fatores de Impacto e INMs'!$A$3:$E$32,5,0),1)</f>
        <v>1</v>
      </c>
      <c r="O350" s="63" t="str">
        <f xml:space="preserve">
IF(OR('Dados da OS'!$D$8="Selecione o tipo da contagem",ISBLANK('Dados da OS'!$D$8),B350="INM",B350="N/A",ISBLANK(B350),ISBLANK(C350),N350="VF"),"-",
   IF('Dados da OS'!$D$8=Parâmetros!$B$3,
      IF(OR(ISBLANK(D350),ISBLANK(F350)),"-",
         IF(L350="L","Baixa",IF(L350="A","Média",IF(L350="H","Alta","-")))),
      IF('Dados da OS'!$D$8=Parâmetros!$B$4,
         IF(OR(B350="ALI",B350="AIE"),"Baixa",IF(OR(B350="EE",B350="SE",B350="CE"),"Média","-")),
         IF(OR('Dados da OS'!$D$8=Parâmetros!$B$5,'Dados da OS'!$D$8=Parâmetros!$B$6),"-"))))</f>
        <v>-</v>
      </c>
      <c r="P350" s="59" t="str">
        <f xml:space="preserve">
IF(OR(ISBLANK(B350),ISBLANK(C350),B350="N/A",ISBLANK('Dados da OS'!$D$8)),"",
   IF(OR('Dados da OS'!$D$8=Parâmetros!$B$3,'Dados da OS'!$D$8=Parâmetros!$B$4),
      IF(OR(AND(B350="INM",N350&lt;&gt;"VF"),AND(N350="VF",B350&lt;&gt;"INM")),"",
        IF(AND(B350="INM",N350="VF"),IF(ISBLANK(H350),"",M350*H350),
        IF('Dados da OS'!$D$8=Parâmetros!$B$4,
           IF(OR(B350="CE",B350="EE"),4,IF(B350="SE",5,IF(B350="ALI",7,IF(B350="AIE",5,"")))),
        IF('Dados da OS'!$D$8=Parâmetros!$B$3,
           IF(OR(ISBLANK(D350),ISBLANK(F350)),"",
              IF(B350="ALI",IF(L350="L",7,IF(L350="A",10,15)),
                 IF(B350="AIE",IF(L350="L",5,IF(L350="A",7,10)),
                    IF(B350="SE",IF(L350="L",4,IF(L350="A",5,7)),
                       IF(OR(B350="EE",B350="CE"),IF(L350="L",3,IF(L350="A",4,6)),""))))))))),
   IF('Dados da OS'!$D$8=Parâmetros!$B$5,
      IF(OR(AND(B350="INM",N350&lt;&gt;"VF"),AND(N350="VF",B350&lt;&gt;"INM")),"",
         IF(B350="INM",IF(N350="VF",M350*H350,""),
            IF(B350="PE",4.6,
            IF(B350="AL",7,"")))),
   IF('Dados da OS'!$D$8=Parâmetros!$B$6,
      IF(B350="ALI",35,IF(B350="AIE",15,"")),""))
    )
)</f>
        <v/>
      </c>
      <c r="Q350" s="60" t="str">
        <f t="shared" si="37"/>
        <v/>
      </c>
      <c r="R350" s="61"/>
      <c r="S350" s="62"/>
      <c r="T350" s="80" t="s">
        <v>21</v>
      </c>
      <c r="U350" s="81"/>
      <c r="V350" s="99"/>
      <c r="W350" s="55"/>
      <c r="X350" s="55"/>
      <c r="Y350" s="56"/>
      <c r="Z350" s="55"/>
      <c r="AA350" s="56"/>
      <c r="AB350" s="55"/>
      <c r="AC350" s="57" t="str">
        <f t="shared" si="38"/>
        <v/>
      </c>
      <c r="AD350" s="57" t="str">
        <f t="shared" si="39"/>
        <v/>
      </c>
      <c r="AE350" s="57" t="str">
        <f xml:space="preserve">
IF(OR('Dados da OS'!$D$8=Parâmetros!$B$3,'Dados da OS'!$D$8=Parâmetros!$B$4),
  IF(OR(ISBLANK(X350),ISBLANK(Z350)),
     IF(OR(V350="ALI",V350="AIE"),"L",IF(ISBLANK(V350),"","A")),
     IF(V350="EE",IF(Z350&gt;=3,IF(X350&gt;=5,"H","A"),
     IF(Z350&gt;=2,IF(X350&gt;=16,"H",IF(X350&lt;=4,"L","A")),IF(X350&lt;=15,"L","A"))),
     IF(OR(V350="SE",V350="CE"),IF(Z350&gt;=4,IF(X350&gt;=6,"H","A"),IF(Z350&gt;=2,IF(X350&gt;=20,"H",IF(X350&lt;=5,"L","A")),IF(X350&lt;=19,"L","A"))),
     IF(OR(V350="ALI",V350="AIE"),IF(Z350&gt;=6,IF(X350&gt;=20,"H","A"),IF(Z350&gt;=2,IF(X350&gt;=51,"H",IF(X350&lt;=19,"L","A")),IF(X350&lt;=50,"L","A"))))))),
IF('Dados da OS'!$D$8=Parâmetros!$B$6,"Indicativa",
IF('Dados da OS'!$D$8=Parâmetros!$B$5,"PFS","")))</f>
        <v/>
      </c>
      <c r="AF350" s="57">
        <f>IFERROR(VLOOKUP(W350,'Fatores de Impacto e INMs'!$A$3:$D$32,3,0),1)</f>
        <v>1</v>
      </c>
      <c r="AG350" s="57">
        <f>IFERROR(VLOOKUP(W350,'Fatores de Impacto e INMs'!$A$3:$E$32,5,0),1)</f>
        <v>1</v>
      </c>
      <c r="AH350" s="82" t="str">
        <f xml:space="preserve">
IF(OR('Dados da OS'!$D$8="Selecione o tipo da contagem",ISBLANK('Dados da OS'!$D$8),V350="INM",V350="N/A",ISBLANK(V350),ISBLANK(W350),AG350="VF"),"-",
   IF('Dados da OS'!$D$8=Parâmetros!$B$3,
      IF(OR(ISBLANK(X350),ISBLANK(Z350)),"-",
         IF(AE350="L","Baixa",IF(AE350="A","Média",IF(AE350="H","Alta","-")))),
      IF('Dados da OS'!$D$8=Parâmetros!$B$4,
         IF(OR(V350="ALI",V350="AIE"),"Baixa",IF(OR(V350="EE",V350="SE",V350="CE"),"Média","-")),
         IF(OR('Dados da OS'!$D$8=Parâmetros!$B$5,'Dados da OS'!$D$8=Parâmetros!$B$6),"-"))))</f>
        <v>-</v>
      </c>
      <c r="AI350" s="83" t="str">
        <f xml:space="preserve">
IF(OR(ISBLANK(V350),ISBLANK(U350),ISBLANK(W350),V350="N/A",ISBLANK('Dados da OS'!$D$8)),"",
   IF(OR('Dados da OS'!$D$8=Parâmetros!$B$3,'Dados da OS'!$D$8=Parâmetros!$B$4),
      IF(OR(AND(V350="INM",AG350&lt;&gt;"VF"),AND(AG350="VF",V350&lt;&gt;"INM")),"",
        IF(AND(V350="INM",AG350="VF"),IF(ISBLANK(AB350),"",AF350*AB350),
        IF('Dados da OS'!$D$8=Parâmetros!$B$4,
           IF(OR(V350="CE",V350="EE"),4,IF(V350="SE",5,IF(V350="ALI",7,IF(V350="AIE",5,"")))),
        IF('Dados da OS'!$D$8=Parâmetros!$B$3,
           IF(OR(ISBLANK(X350),ISBLANK(Z350)),"",
              IF(V350="ALI",IF(AE350="L",7,IF(AE350="A",10,15)),
                 IF(V350="AIE",IF(AE350="L",5,IF(AE350="A",7,10)),
                    IF(V350="SE",IF(AE350="L",4,IF(AE350="A",5,7)),
                       IF(OR(V350="EE",V350="CE"),IF(AE350="L",3,IF(AE350="A",4,6)),""))))))))),
   IF('Dados da OS'!$D$8=Parâmetros!$B$5,
      IF(OR(AND(V350="INM",AG350&lt;&gt;"VF"),AND(AG350="VF",V350&lt;&gt;"INM")),"",
         IF(V350="INM",IF(AG350="VF",AF350*AB350,""),
            IF(V350="PE",4.6,
            IF(V350="AL",7,"")))),
   IF('Dados da OS'!$D$8=Parâmetros!$B$6,
      IF(V350="ALI",35,IF(V350="AIE",15,"")),""))
    )
)</f>
        <v/>
      </c>
      <c r="AJ350" s="82" t="str">
        <f t="shared" si="40"/>
        <v/>
      </c>
      <c r="AK350" s="84"/>
      <c r="AL350" s="85" t="s">
        <v>21</v>
      </c>
      <c r="AM350" s="86"/>
      <c r="AN350" s="85"/>
      <c r="AO350" s="87"/>
      <c r="AP350" s="85"/>
      <c r="AQ350" s="86"/>
      <c r="AR350" s="85"/>
    </row>
    <row r="351" spans="1:44" ht="15.75" customHeight="1">
      <c r="A351" s="54"/>
      <c r="B351" s="100"/>
      <c r="C351" s="55"/>
      <c r="D351" s="55"/>
      <c r="E351" s="56"/>
      <c r="F351" s="55"/>
      <c r="G351" s="56"/>
      <c r="H351" s="55"/>
      <c r="I351" s="64"/>
      <c r="J351" s="57" t="str">
        <f t="shared" si="35"/>
        <v/>
      </c>
      <c r="K351" s="57" t="str">
        <f t="shared" si="36"/>
        <v/>
      </c>
      <c r="L351" s="57" t="str">
        <f xml:space="preserve">
IF(OR('Dados da OS'!$D$8=Parâmetros!$B$3,'Dados da OS'!$D$8=Parâmetros!$B$4),
  IF(OR(ISBLANK(D351),ISBLANK(F351)),
     IF(OR(B351="ALI",B351="AIE"),"L",IF(ISBLANK(B351),"","A")),
     IF(B351="EE",IF(F351&gt;=3,IF(D351&gt;=5,"H","A"),
     IF(F351&gt;=2,IF(D351&gt;=16,"H",IF(D351&lt;=4,"L","A")),IF(D351&lt;=15,"L","A"))),
     IF(OR(B351="SE",B351="CE"),IF(F351&gt;=4,IF(D351&gt;=6,"H","A"),IF(F351&gt;=2,IF(D351&gt;=20,"H",IF(D351&lt;=5,"L","A")),IF(D351&lt;=19,"L","A"))),
     IF(OR(B351="ALI",B351="AIE"),IF(F351&gt;=6,IF(D351&gt;=20,"H","A"),IF(F351&gt;=2,IF(D351&gt;=51,"H",IF(D351&lt;=19,"L","A")),IF(D351&lt;=50,"L","A"))))))),
IF('Dados da OS'!$D$8=Parâmetros!$B$6,"Indicativa",
IF('Dados da OS'!$D$8=Parâmetros!$B$5,"PFS","")))</f>
        <v/>
      </c>
      <c r="M351" s="57">
        <f>IFERROR(VLOOKUP(C351,'Fatores de Impacto e INMs'!$A$3:$D$32,3,0),1)</f>
        <v>1</v>
      </c>
      <c r="N351" s="57">
        <f>IFERROR(VLOOKUP(C351,'Fatores de Impacto e INMs'!$A$3:$E$32,5,0),1)</f>
        <v>1</v>
      </c>
      <c r="O351" s="63" t="str">
        <f xml:space="preserve">
IF(OR('Dados da OS'!$D$8="Selecione o tipo da contagem",ISBLANK('Dados da OS'!$D$8),B351="INM",B351="N/A",ISBLANK(B351),ISBLANK(C351),N351="VF"),"-",
   IF('Dados da OS'!$D$8=Parâmetros!$B$3,
      IF(OR(ISBLANK(D351),ISBLANK(F351)),"-",
         IF(L351="L","Baixa",IF(L351="A","Média",IF(L351="H","Alta","-")))),
      IF('Dados da OS'!$D$8=Parâmetros!$B$4,
         IF(OR(B351="ALI",B351="AIE"),"Baixa",IF(OR(B351="EE",B351="SE",B351="CE"),"Média","-")),
         IF(OR('Dados da OS'!$D$8=Parâmetros!$B$5,'Dados da OS'!$D$8=Parâmetros!$B$6),"-"))))</f>
        <v>-</v>
      </c>
      <c r="P351" s="59" t="str">
        <f xml:space="preserve">
IF(OR(ISBLANK(B351),ISBLANK(C351),B351="N/A",ISBLANK('Dados da OS'!$D$8)),"",
   IF(OR('Dados da OS'!$D$8=Parâmetros!$B$3,'Dados da OS'!$D$8=Parâmetros!$B$4),
      IF(OR(AND(B351="INM",N351&lt;&gt;"VF"),AND(N351="VF",B351&lt;&gt;"INM")),"",
        IF(AND(B351="INM",N351="VF"),IF(ISBLANK(H351),"",M351*H351),
        IF('Dados da OS'!$D$8=Parâmetros!$B$4,
           IF(OR(B351="CE",B351="EE"),4,IF(B351="SE",5,IF(B351="ALI",7,IF(B351="AIE",5,"")))),
        IF('Dados da OS'!$D$8=Parâmetros!$B$3,
           IF(OR(ISBLANK(D351),ISBLANK(F351)),"",
              IF(B351="ALI",IF(L351="L",7,IF(L351="A",10,15)),
                 IF(B351="AIE",IF(L351="L",5,IF(L351="A",7,10)),
                    IF(B351="SE",IF(L351="L",4,IF(L351="A",5,7)),
                       IF(OR(B351="EE",B351="CE"),IF(L351="L",3,IF(L351="A",4,6)),""))))))))),
   IF('Dados da OS'!$D$8=Parâmetros!$B$5,
      IF(OR(AND(B351="INM",N351&lt;&gt;"VF"),AND(N351="VF",B351&lt;&gt;"INM")),"",
         IF(B351="INM",IF(N351="VF",M351*H351,""),
            IF(B351="PE",4.6,
            IF(B351="AL",7,"")))),
   IF('Dados da OS'!$D$8=Parâmetros!$B$6,
      IF(B351="ALI",35,IF(B351="AIE",15,"")),""))
    )
)</f>
        <v/>
      </c>
      <c r="Q351" s="60" t="str">
        <f t="shared" si="37"/>
        <v/>
      </c>
      <c r="R351" s="61"/>
      <c r="S351" s="62"/>
      <c r="T351" s="80" t="s">
        <v>21</v>
      </c>
      <c r="U351" s="81"/>
      <c r="V351" s="99"/>
      <c r="W351" s="55"/>
      <c r="X351" s="55"/>
      <c r="Y351" s="56"/>
      <c r="Z351" s="55"/>
      <c r="AA351" s="56"/>
      <c r="AB351" s="55"/>
      <c r="AC351" s="57" t="str">
        <f t="shared" si="38"/>
        <v/>
      </c>
      <c r="AD351" s="57" t="str">
        <f t="shared" si="39"/>
        <v/>
      </c>
      <c r="AE351" s="57" t="str">
        <f xml:space="preserve">
IF(OR('Dados da OS'!$D$8=Parâmetros!$B$3,'Dados da OS'!$D$8=Parâmetros!$B$4),
  IF(OR(ISBLANK(X351),ISBLANK(Z351)),
     IF(OR(V351="ALI",V351="AIE"),"L",IF(ISBLANK(V351),"","A")),
     IF(V351="EE",IF(Z351&gt;=3,IF(X351&gt;=5,"H","A"),
     IF(Z351&gt;=2,IF(X351&gt;=16,"H",IF(X351&lt;=4,"L","A")),IF(X351&lt;=15,"L","A"))),
     IF(OR(V351="SE",V351="CE"),IF(Z351&gt;=4,IF(X351&gt;=6,"H","A"),IF(Z351&gt;=2,IF(X351&gt;=20,"H",IF(X351&lt;=5,"L","A")),IF(X351&lt;=19,"L","A"))),
     IF(OR(V351="ALI",V351="AIE"),IF(Z351&gt;=6,IF(X351&gt;=20,"H","A"),IF(Z351&gt;=2,IF(X351&gt;=51,"H",IF(X351&lt;=19,"L","A")),IF(X351&lt;=50,"L","A"))))))),
IF('Dados da OS'!$D$8=Parâmetros!$B$6,"Indicativa",
IF('Dados da OS'!$D$8=Parâmetros!$B$5,"PFS","")))</f>
        <v/>
      </c>
      <c r="AF351" s="57">
        <f>IFERROR(VLOOKUP(W351,'Fatores de Impacto e INMs'!$A$3:$D$32,3,0),1)</f>
        <v>1</v>
      </c>
      <c r="AG351" s="57">
        <f>IFERROR(VLOOKUP(W351,'Fatores de Impacto e INMs'!$A$3:$E$32,5,0),1)</f>
        <v>1</v>
      </c>
      <c r="AH351" s="82" t="str">
        <f xml:space="preserve">
IF(OR('Dados da OS'!$D$8="Selecione o tipo da contagem",ISBLANK('Dados da OS'!$D$8),V351="INM",V351="N/A",ISBLANK(V351),ISBLANK(W351),AG351="VF"),"-",
   IF('Dados da OS'!$D$8=Parâmetros!$B$3,
      IF(OR(ISBLANK(X351),ISBLANK(Z351)),"-",
         IF(AE351="L","Baixa",IF(AE351="A","Média",IF(AE351="H","Alta","-")))),
      IF('Dados da OS'!$D$8=Parâmetros!$B$4,
         IF(OR(V351="ALI",V351="AIE"),"Baixa",IF(OR(V351="EE",V351="SE",V351="CE"),"Média","-")),
         IF(OR('Dados da OS'!$D$8=Parâmetros!$B$5,'Dados da OS'!$D$8=Parâmetros!$B$6),"-"))))</f>
        <v>-</v>
      </c>
      <c r="AI351" s="83" t="str">
        <f xml:space="preserve">
IF(OR(ISBLANK(V351),ISBLANK(U351),ISBLANK(W351),V351="N/A",ISBLANK('Dados da OS'!$D$8)),"",
   IF(OR('Dados da OS'!$D$8=Parâmetros!$B$3,'Dados da OS'!$D$8=Parâmetros!$B$4),
      IF(OR(AND(V351="INM",AG351&lt;&gt;"VF"),AND(AG351="VF",V351&lt;&gt;"INM")),"",
        IF(AND(V351="INM",AG351="VF"),IF(ISBLANK(AB351),"",AF351*AB351),
        IF('Dados da OS'!$D$8=Parâmetros!$B$4,
           IF(OR(V351="CE",V351="EE"),4,IF(V351="SE",5,IF(V351="ALI",7,IF(V351="AIE",5,"")))),
        IF('Dados da OS'!$D$8=Parâmetros!$B$3,
           IF(OR(ISBLANK(X351),ISBLANK(Z351)),"",
              IF(V351="ALI",IF(AE351="L",7,IF(AE351="A",10,15)),
                 IF(V351="AIE",IF(AE351="L",5,IF(AE351="A",7,10)),
                    IF(V351="SE",IF(AE351="L",4,IF(AE351="A",5,7)),
                       IF(OR(V351="EE",V351="CE"),IF(AE351="L",3,IF(AE351="A",4,6)),""))))))))),
   IF('Dados da OS'!$D$8=Parâmetros!$B$5,
      IF(OR(AND(V351="INM",AG351&lt;&gt;"VF"),AND(AG351="VF",V351&lt;&gt;"INM")),"",
         IF(V351="INM",IF(AG351="VF",AF351*AB351,""),
            IF(V351="PE",4.6,
            IF(V351="AL",7,"")))),
   IF('Dados da OS'!$D$8=Parâmetros!$B$6,
      IF(V351="ALI",35,IF(V351="AIE",15,"")),""))
    )
)</f>
        <v/>
      </c>
      <c r="AJ351" s="82" t="str">
        <f t="shared" si="40"/>
        <v/>
      </c>
      <c r="AK351" s="84"/>
      <c r="AL351" s="85" t="s">
        <v>21</v>
      </c>
      <c r="AM351" s="86"/>
      <c r="AN351" s="85"/>
      <c r="AO351" s="87"/>
      <c r="AP351" s="85"/>
      <c r="AQ351" s="86"/>
      <c r="AR351" s="85"/>
    </row>
    <row r="352" spans="1:44" ht="15.75" customHeight="1">
      <c r="A352" s="54"/>
      <c r="B352" s="100"/>
      <c r="C352" s="55"/>
      <c r="D352" s="55"/>
      <c r="E352" s="56"/>
      <c r="F352" s="55"/>
      <c r="G352" s="56"/>
      <c r="H352" s="55"/>
      <c r="I352" s="64"/>
      <c r="J352" s="57" t="str">
        <f t="shared" si="35"/>
        <v/>
      </c>
      <c r="K352" s="57" t="str">
        <f t="shared" si="36"/>
        <v/>
      </c>
      <c r="L352" s="57" t="str">
        <f xml:space="preserve">
IF(OR('Dados da OS'!$D$8=Parâmetros!$B$3,'Dados da OS'!$D$8=Parâmetros!$B$4),
  IF(OR(ISBLANK(D352),ISBLANK(F352)),
     IF(OR(B352="ALI",B352="AIE"),"L",IF(ISBLANK(B352),"","A")),
     IF(B352="EE",IF(F352&gt;=3,IF(D352&gt;=5,"H","A"),
     IF(F352&gt;=2,IF(D352&gt;=16,"H",IF(D352&lt;=4,"L","A")),IF(D352&lt;=15,"L","A"))),
     IF(OR(B352="SE",B352="CE"),IF(F352&gt;=4,IF(D352&gt;=6,"H","A"),IF(F352&gt;=2,IF(D352&gt;=20,"H",IF(D352&lt;=5,"L","A")),IF(D352&lt;=19,"L","A"))),
     IF(OR(B352="ALI",B352="AIE"),IF(F352&gt;=6,IF(D352&gt;=20,"H","A"),IF(F352&gt;=2,IF(D352&gt;=51,"H",IF(D352&lt;=19,"L","A")),IF(D352&lt;=50,"L","A"))))))),
IF('Dados da OS'!$D$8=Parâmetros!$B$6,"Indicativa",
IF('Dados da OS'!$D$8=Parâmetros!$B$5,"PFS","")))</f>
        <v/>
      </c>
      <c r="M352" s="57">
        <f>IFERROR(VLOOKUP(C352,'Fatores de Impacto e INMs'!$A$3:$D$32,3,0),1)</f>
        <v>1</v>
      </c>
      <c r="N352" s="57">
        <f>IFERROR(VLOOKUP(C352,'Fatores de Impacto e INMs'!$A$3:$E$32,5,0),1)</f>
        <v>1</v>
      </c>
      <c r="O352" s="63" t="str">
        <f xml:space="preserve">
IF(OR('Dados da OS'!$D$8="Selecione o tipo da contagem",ISBLANK('Dados da OS'!$D$8),B352="INM",B352="N/A",ISBLANK(B352),ISBLANK(C352),N352="VF"),"-",
   IF('Dados da OS'!$D$8=Parâmetros!$B$3,
      IF(OR(ISBLANK(D352),ISBLANK(F352)),"-",
         IF(L352="L","Baixa",IF(L352="A","Média",IF(L352="H","Alta","-")))),
      IF('Dados da OS'!$D$8=Parâmetros!$B$4,
         IF(OR(B352="ALI",B352="AIE"),"Baixa",IF(OR(B352="EE",B352="SE",B352="CE"),"Média","-")),
         IF(OR('Dados da OS'!$D$8=Parâmetros!$B$5,'Dados da OS'!$D$8=Parâmetros!$B$6),"-"))))</f>
        <v>-</v>
      </c>
      <c r="P352" s="59" t="str">
        <f xml:space="preserve">
IF(OR(ISBLANK(B352),ISBLANK(C352),B352="N/A",ISBLANK('Dados da OS'!$D$8)),"",
   IF(OR('Dados da OS'!$D$8=Parâmetros!$B$3,'Dados da OS'!$D$8=Parâmetros!$B$4),
      IF(OR(AND(B352="INM",N352&lt;&gt;"VF"),AND(N352="VF",B352&lt;&gt;"INM")),"",
        IF(AND(B352="INM",N352="VF"),IF(ISBLANK(H352),"",M352*H352),
        IF('Dados da OS'!$D$8=Parâmetros!$B$4,
           IF(OR(B352="CE",B352="EE"),4,IF(B352="SE",5,IF(B352="ALI",7,IF(B352="AIE",5,"")))),
        IF('Dados da OS'!$D$8=Parâmetros!$B$3,
           IF(OR(ISBLANK(D352),ISBLANK(F352)),"",
              IF(B352="ALI",IF(L352="L",7,IF(L352="A",10,15)),
                 IF(B352="AIE",IF(L352="L",5,IF(L352="A",7,10)),
                    IF(B352="SE",IF(L352="L",4,IF(L352="A",5,7)),
                       IF(OR(B352="EE",B352="CE"),IF(L352="L",3,IF(L352="A",4,6)),""))))))))),
   IF('Dados da OS'!$D$8=Parâmetros!$B$5,
      IF(OR(AND(B352="INM",N352&lt;&gt;"VF"),AND(N352="VF",B352&lt;&gt;"INM")),"",
         IF(B352="INM",IF(N352="VF",M352*H352,""),
            IF(B352="PE",4.6,
            IF(B352="AL",7,"")))),
   IF('Dados da OS'!$D$8=Parâmetros!$B$6,
      IF(B352="ALI",35,IF(B352="AIE",15,"")),""))
    )
)</f>
        <v/>
      </c>
      <c r="Q352" s="60" t="str">
        <f t="shared" si="37"/>
        <v/>
      </c>
      <c r="R352" s="61"/>
      <c r="S352" s="62"/>
      <c r="T352" s="80" t="s">
        <v>21</v>
      </c>
      <c r="U352" s="81"/>
      <c r="V352" s="99"/>
      <c r="W352" s="55"/>
      <c r="X352" s="55"/>
      <c r="Y352" s="56"/>
      <c r="Z352" s="55"/>
      <c r="AA352" s="56"/>
      <c r="AB352" s="55"/>
      <c r="AC352" s="57" t="str">
        <f t="shared" si="38"/>
        <v/>
      </c>
      <c r="AD352" s="57" t="str">
        <f t="shared" si="39"/>
        <v/>
      </c>
      <c r="AE352" s="57" t="str">
        <f xml:space="preserve">
IF(OR('Dados da OS'!$D$8=Parâmetros!$B$3,'Dados da OS'!$D$8=Parâmetros!$B$4),
  IF(OR(ISBLANK(X352),ISBLANK(Z352)),
     IF(OR(V352="ALI",V352="AIE"),"L",IF(ISBLANK(V352),"","A")),
     IF(V352="EE",IF(Z352&gt;=3,IF(X352&gt;=5,"H","A"),
     IF(Z352&gt;=2,IF(X352&gt;=16,"H",IF(X352&lt;=4,"L","A")),IF(X352&lt;=15,"L","A"))),
     IF(OR(V352="SE",V352="CE"),IF(Z352&gt;=4,IF(X352&gt;=6,"H","A"),IF(Z352&gt;=2,IF(X352&gt;=20,"H",IF(X352&lt;=5,"L","A")),IF(X352&lt;=19,"L","A"))),
     IF(OR(V352="ALI",V352="AIE"),IF(Z352&gt;=6,IF(X352&gt;=20,"H","A"),IF(Z352&gt;=2,IF(X352&gt;=51,"H",IF(X352&lt;=19,"L","A")),IF(X352&lt;=50,"L","A"))))))),
IF('Dados da OS'!$D$8=Parâmetros!$B$6,"Indicativa",
IF('Dados da OS'!$D$8=Parâmetros!$B$5,"PFS","")))</f>
        <v/>
      </c>
      <c r="AF352" s="57">
        <f>IFERROR(VLOOKUP(W352,'Fatores de Impacto e INMs'!$A$3:$D$32,3,0),1)</f>
        <v>1</v>
      </c>
      <c r="AG352" s="57">
        <f>IFERROR(VLOOKUP(W352,'Fatores de Impacto e INMs'!$A$3:$E$32,5,0),1)</f>
        <v>1</v>
      </c>
      <c r="AH352" s="82" t="str">
        <f xml:space="preserve">
IF(OR('Dados da OS'!$D$8="Selecione o tipo da contagem",ISBLANK('Dados da OS'!$D$8),V352="INM",V352="N/A",ISBLANK(V352),ISBLANK(W352),AG352="VF"),"-",
   IF('Dados da OS'!$D$8=Parâmetros!$B$3,
      IF(OR(ISBLANK(X352),ISBLANK(Z352)),"-",
         IF(AE352="L","Baixa",IF(AE352="A","Média",IF(AE352="H","Alta","-")))),
      IF('Dados da OS'!$D$8=Parâmetros!$B$4,
         IF(OR(V352="ALI",V352="AIE"),"Baixa",IF(OR(V352="EE",V352="SE",V352="CE"),"Média","-")),
         IF(OR('Dados da OS'!$D$8=Parâmetros!$B$5,'Dados da OS'!$D$8=Parâmetros!$B$6),"-"))))</f>
        <v>-</v>
      </c>
      <c r="AI352" s="83" t="str">
        <f xml:space="preserve">
IF(OR(ISBLANK(V352),ISBLANK(U352),ISBLANK(W352),V352="N/A",ISBLANK('Dados da OS'!$D$8)),"",
   IF(OR('Dados da OS'!$D$8=Parâmetros!$B$3,'Dados da OS'!$D$8=Parâmetros!$B$4),
      IF(OR(AND(V352="INM",AG352&lt;&gt;"VF"),AND(AG352="VF",V352&lt;&gt;"INM")),"",
        IF(AND(V352="INM",AG352="VF"),IF(ISBLANK(AB352),"",AF352*AB352),
        IF('Dados da OS'!$D$8=Parâmetros!$B$4,
           IF(OR(V352="CE",V352="EE"),4,IF(V352="SE",5,IF(V352="ALI",7,IF(V352="AIE",5,"")))),
        IF('Dados da OS'!$D$8=Parâmetros!$B$3,
           IF(OR(ISBLANK(X352),ISBLANK(Z352)),"",
              IF(V352="ALI",IF(AE352="L",7,IF(AE352="A",10,15)),
                 IF(V352="AIE",IF(AE352="L",5,IF(AE352="A",7,10)),
                    IF(V352="SE",IF(AE352="L",4,IF(AE352="A",5,7)),
                       IF(OR(V352="EE",V352="CE"),IF(AE352="L",3,IF(AE352="A",4,6)),""))))))))),
   IF('Dados da OS'!$D$8=Parâmetros!$B$5,
      IF(OR(AND(V352="INM",AG352&lt;&gt;"VF"),AND(AG352="VF",V352&lt;&gt;"INM")),"",
         IF(V352="INM",IF(AG352="VF",AF352*AB352,""),
            IF(V352="PE",4.6,
            IF(V352="AL",7,"")))),
   IF('Dados da OS'!$D$8=Parâmetros!$B$6,
      IF(V352="ALI",35,IF(V352="AIE",15,"")),""))
    )
)</f>
        <v/>
      </c>
      <c r="AJ352" s="82" t="str">
        <f t="shared" si="40"/>
        <v/>
      </c>
      <c r="AK352" s="84"/>
      <c r="AL352" s="85" t="s">
        <v>21</v>
      </c>
      <c r="AM352" s="86"/>
      <c r="AN352" s="85"/>
      <c r="AO352" s="87"/>
      <c r="AP352" s="85"/>
      <c r="AQ352" s="86"/>
      <c r="AR352" s="85"/>
    </row>
    <row r="353" spans="1:44" ht="15.75" customHeight="1">
      <c r="A353" s="54"/>
      <c r="B353" s="100"/>
      <c r="C353" s="55"/>
      <c r="D353" s="55"/>
      <c r="E353" s="56"/>
      <c r="F353" s="55"/>
      <c r="G353" s="56"/>
      <c r="H353" s="55"/>
      <c r="I353" s="64"/>
      <c r="J353" s="57" t="str">
        <f t="shared" si="35"/>
        <v/>
      </c>
      <c r="K353" s="57" t="str">
        <f t="shared" si="36"/>
        <v/>
      </c>
      <c r="L353" s="57" t="str">
        <f xml:space="preserve">
IF(OR('Dados da OS'!$D$8=Parâmetros!$B$3,'Dados da OS'!$D$8=Parâmetros!$B$4),
  IF(OR(ISBLANK(D353),ISBLANK(F353)),
     IF(OR(B353="ALI",B353="AIE"),"L",IF(ISBLANK(B353),"","A")),
     IF(B353="EE",IF(F353&gt;=3,IF(D353&gt;=5,"H","A"),
     IF(F353&gt;=2,IF(D353&gt;=16,"H",IF(D353&lt;=4,"L","A")),IF(D353&lt;=15,"L","A"))),
     IF(OR(B353="SE",B353="CE"),IF(F353&gt;=4,IF(D353&gt;=6,"H","A"),IF(F353&gt;=2,IF(D353&gt;=20,"H",IF(D353&lt;=5,"L","A")),IF(D353&lt;=19,"L","A"))),
     IF(OR(B353="ALI",B353="AIE"),IF(F353&gt;=6,IF(D353&gt;=20,"H","A"),IF(F353&gt;=2,IF(D353&gt;=51,"H",IF(D353&lt;=19,"L","A")),IF(D353&lt;=50,"L","A"))))))),
IF('Dados da OS'!$D$8=Parâmetros!$B$6,"Indicativa",
IF('Dados da OS'!$D$8=Parâmetros!$B$5,"PFS","")))</f>
        <v/>
      </c>
      <c r="M353" s="57">
        <f>IFERROR(VLOOKUP(C353,'Fatores de Impacto e INMs'!$A$3:$D$32,3,0),1)</f>
        <v>1</v>
      </c>
      <c r="N353" s="57">
        <f>IFERROR(VLOOKUP(C353,'Fatores de Impacto e INMs'!$A$3:$E$32,5,0),1)</f>
        <v>1</v>
      </c>
      <c r="O353" s="63" t="str">
        <f xml:space="preserve">
IF(OR('Dados da OS'!$D$8="Selecione o tipo da contagem",ISBLANK('Dados da OS'!$D$8),B353="INM",B353="N/A",ISBLANK(B353),ISBLANK(C353),N353="VF"),"-",
   IF('Dados da OS'!$D$8=Parâmetros!$B$3,
      IF(OR(ISBLANK(D353),ISBLANK(F353)),"-",
         IF(L353="L","Baixa",IF(L353="A","Média",IF(L353="H","Alta","-")))),
      IF('Dados da OS'!$D$8=Parâmetros!$B$4,
         IF(OR(B353="ALI",B353="AIE"),"Baixa",IF(OR(B353="EE",B353="SE",B353="CE"),"Média","-")),
         IF(OR('Dados da OS'!$D$8=Parâmetros!$B$5,'Dados da OS'!$D$8=Parâmetros!$B$6),"-"))))</f>
        <v>-</v>
      </c>
      <c r="P353" s="59" t="str">
        <f xml:space="preserve">
IF(OR(ISBLANK(B353),ISBLANK(C353),B353="N/A",ISBLANK('Dados da OS'!$D$8)),"",
   IF(OR('Dados da OS'!$D$8=Parâmetros!$B$3,'Dados da OS'!$D$8=Parâmetros!$B$4),
      IF(OR(AND(B353="INM",N353&lt;&gt;"VF"),AND(N353="VF",B353&lt;&gt;"INM")),"",
        IF(AND(B353="INM",N353="VF"),IF(ISBLANK(H353),"",M353*H353),
        IF('Dados da OS'!$D$8=Parâmetros!$B$4,
           IF(OR(B353="CE",B353="EE"),4,IF(B353="SE",5,IF(B353="ALI",7,IF(B353="AIE",5,"")))),
        IF('Dados da OS'!$D$8=Parâmetros!$B$3,
           IF(OR(ISBLANK(D353),ISBLANK(F353)),"",
              IF(B353="ALI",IF(L353="L",7,IF(L353="A",10,15)),
                 IF(B353="AIE",IF(L353="L",5,IF(L353="A",7,10)),
                    IF(B353="SE",IF(L353="L",4,IF(L353="A",5,7)),
                       IF(OR(B353="EE",B353="CE"),IF(L353="L",3,IF(L353="A",4,6)),""))))))))),
   IF('Dados da OS'!$D$8=Parâmetros!$B$5,
      IF(OR(AND(B353="INM",N353&lt;&gt;"VF"),AND(N353="VF",B353&lt;&gt;"INM")),"",
         IF(B353="INM",IF(N353="VF",M353*H353,""),
            IF(B353="PE",4.6,
            IF(B353="AL",7,"")))),
   IF('Dados da OS'!$D$8=Parâmetros!$B$6,
      IF(B353="ALI",35,IF(B353="AIE",15,"")),""))
    )
)</f>
        <v/>
      </c>
      <c r="Q353" s="60" t="str">
        <f t="shared" si="37"/>
        <v/>
      </c>
      <c r="R353" s="61"/>
      <c r="S353" s="62"/>
      <c r="T353" s="80" t="s">
        <v>21</v>
      </c>
      <c r="U353" s="81"/>
      <c r="V353" s="99"/>
      <c r="W353" s="55"/>
      <c r="X353" s="55"/>
      <c r="Y353" s="56"/>
      <c r="Z353" s="55"/>
      <c r="AA353" s="56"/>
      <c r="AB353" s="55"/>
      <c r="AC353" s="57" t="str">
        <f t="shared" si="38"/>
        <v/>
      </c>
      <c r="AD353" s="57" t="str">
        <f t="shared" si="39"/>
        <v/>
      </c>
      <c r="AE353" s="57" t="str">
        <f xml:space="preserve">
IF(OR('Dados da OS'!$D$8=Parâmetros!$B$3,'Dados da OS'!$D$8=Parâmetros!$B$4),
  IF(OR(ISBLANK(X353),ISBLANK(Z353)),
     IF(OR(V353="ALI",V353="AIE"),"L",IF(ISBLANK(V353),"","A")),
     IF(V353="EE",IF(Z353&gt;=3,IF(X353&gt;=5,"H","A"),
     IF(Z353&gt;=2,IF(X353&gt;=16,"H",IF(X353&lt;=4,"L","A")),IF(X353&lt;=15,"L","A"))),
     IF(OR(V353="SE",V353="CE"),IF(Z353&gt;=4,IF(X353&gt;=6,"H","A"),IF(Z353&gt;=2,IF(X353&gt;=20,"H",IF(X353&lt;=5,"L","A")),IF(X353&lt;=19,"L","A"))),
     IF(OR(V353="ALI",V353="AIE"),IF(Z353&gt;=6,IF(X353&gt;=20,"H","A"),IF(Z353&gt;=2,IF(X353&gt;=51,"H",IF(X353&lt;=19,"L","A")),IF(X353&lt;=50,"L","A"))))))),
IF('Dados da OS'!$D$8=Parâmetros!$B$6,"Indicativa",
IF('Dados da OS'!$D$8=Parâmetros!$B$5,"PFS","")))</f>
        <v/>
      </c>
      <c r="AF353" s="57">
        <f>IFERROR(VLOOKUP(W353,'Fatores de Impacto e INMs'!$A$3:$D$32,3,0),1)</f>
        <v>1</v>
      </c>
      <c r="AG353" s="57">
        <f>IFERROR(VLOOKUP(W353,'Fatores de Impacto e INMs'!$A$3:$E$32,5,0),1)</f>
        <v>1</v>
      </c>
      <c r="AH353" s="82" t="str">
        <f xml:space="preserve">
IF(OR('Dados da OS'!$D$8="Selecione o tipo da contagem",ISBLANK('Dados da OS'!$D$8),V353="INM",V353="N/A",ISBLANK(V353),ISBLANK(W353),AG353="VF"),"-",
   IF('Dados da OS'!$D$8=Parâmetros!$B$3,
      IF(OR(ISBLANK(X353),ISBLANK(Z353)),"-",
         IF(AE353="L","Baixa",IF(AE353="A","Média",IF(AE353="H","Alta","-")))),
      IF('Dados da OS'!$D$8=Parâmetros!$B$4,
         IF(OR(V353="ALI",V353="AIE"),"Baixa",IF(OR(V353="EE",V353="SE",V353="CE"),"Média","-")),
         IF(OR('Dados da OS'!$D$8=Parâmetros!$B$5,'Dados da OS'!$D$8=Parâmetros!$B$6),"-"))))</f>
        <v>-</v>
      </c>
      <c r="AI353" s="83" t="str">
        <f xml:space="preserve">
IF(OR(ISBLANK(V353),ISBLANK(U353),ISBLANK(W353),V353="N/A",ISBLANK('Dados da OS'!$D$8)),"",
   IF(OR('Dados da OS'!$D$8=Parâmetros!$B$3,'Dados da OS'!$D$8=Parâmetros!$B$4),
      IF(OR(AND(V353="INM",AG353&lt;&gt;"VF"),AND(AG353="VF",V353&lt;&gt;"INM")),"",
        IF(AND(V353="INM",AG353="VF"),IF(ISBLANK(AB353),"",AF353*AB353),
        IF('Dados da OS'!$D$8=Parâmetros!$B$4,
           IF(OR(V353="CE",V353="EE"),4,IF(V353="SE",5,IF(V353="ALI",7,IF(V353="AIE",5,"")))),
        IF('Dados da OS'!$D$8=Parâmetros!$B$3,
           IF(OR(ISBLANK(X353),ISBLANK(Z353)),"",
              IF(V353="ALI",IF(AE353="L",7,IF(AE353="A",10,15)),
                 IF(V353="AIE",IF(AE353="L",5,IF(AE353="A",7,10)),
                    IF(V353="SE",IF(AE353="L",4,IF(AE353="A",5,7)),
                       IF(OR(V353="EE",V353="CE"),IF(AE353="L",3,IF(AE353="A",4,6)),""))))))))),
   IF('Dados da OS'!$D$8=Parâmetros!$B$5,
      IF(OR(AND(V353="INM",AG353&lt;&gt;"VF"),AND(AG353="VF",V353&lt;&gt;"INM")),"",
         IF(V353="INM",IF(AG353="VF",AF353*AB353,""),
            IF(V353="PE",4.6,
            IF(V353="AL",7,"")))),
   IF('Dados da OS'!$D$8=Parâmetros!$B$6,
      IF(V353="ALI",35,IF(V353="AIE",15,"")),""))
    )
)</f>
        <v/>
      </c>
      <c r="AJ353" s="82" t="str">
        <f t="shared" si="40"/>
        <v/>
      </c>
      <c r="AK353" s="84"/>
      <c r="AL353" s="85" t="s">
        <v>21</v>
      </c>
      <c r="AM353" s="86"/>
      <c r="AN353" s="85"/>
      <c r="AO353" s="87"/>
      <c r="AP353" s="85"/>
      <c r="AQ353" s="86"/>
      <c r="AR353" s="85"/>
    </row>
    <row r="354" spans="1:44" ht="15.75" customHeight="1">
      <c r="A354" s="54"/>
      <c r="B354" s="100"/>
      <c r="C354" s="55"/>
      <c r="D354" s="55"/>
      <c r="E354" s="56"/>
      <c r="F354" s="55"/>
      <c r="G354" s="56"/>
      <c r="H354" s="55"/>
      <c r="I354" s="64"/>
      <c r="J354" s="57" t="str">
        <f t="shared" si="35"/>
        <v/>
      </c>
      <c r="K354" s="57" t="str">
        <f t="shared" si="36"/>
        <v/>
      </c>
      <c r="L354" s="57" t="str">
        <f xml:space="preserve">
IF(OR('Dados da OS'!$D$8=Parâmetros!$B$3,'Dados da OS'!$D$8=Parâmetros!$B$4),
  IF(OR(ISBLANK(D354),ISBLANK(F354)),
     IF(OR(B354="ALI",B354="AIE"),"L",IF(ISBLANK(B354),"","A")),
     IF(B354="EE",IF(F354&gt;=3,IF(D354&gt;=5,"H","A"),
     IF(F354&gt;=2,IF(D354&gt;=16,"H",IF(D354&lt;=4,"L","A")),IF(D354&lt;=15,"L","A"))),
     IF(OR(B354="SE",B354="CE"),IF(F354&gt;=4,IF(D354&gt;=6,"H","A"),IF(F354&gt;=2,IF(D354&gt;=20,"H",IF(D354&lt;=5,"L","A")),IF(D354&lt;=19,"L","A"))),
     IF(OR(B354="ALI",B354="AIE"),IF(F354&gt;=6,IF(D354&gt;=20,"H","A"),IF(F354&gt;=2,IF(D354&gt;=51,"H",IF(D354&lt;=19,"L","A")),IF(D354&lt;=50,"L","A"))))))),
IF('Dados da OS'!$D$8=Parâmetros!$B$6,"Indicativa",
IF('Dados da OS'!$D$8=Parâmetros!$B$5,"PFS","")))</f>
        <v/>
      </c>
      <c r="M354" s="57">
        <f>IFERROR(VLOOKUP(C354,'Fatores de Impacto e INMs'!$A$3:$D$32,3,0),1)</f>
        <v>1</v>
      </c>
      <c r="N354" s="57">
        <f>IFERROR(VLOOKUP(C354,'Fatores de Impacto e INMs'!$A$3:$E$32,5,0),1)</f>
        <v>1</v>
      </c>
      <c r="O354" s="63" t="str">
        <f xml:space="preserve">
IF(OR('Dados da OS'!$D$8="Selecione o tipo da contagem",ISBLANK('Dados da OS'!$D$8),B354="INM",B354="N/A",ISBLANK(B354),ISBLANK(C354),N354="VF"),"-",
   IF('Dados da OS'!$D$8=Parâmetros!$B$3,
      IF(OR(ISBLANK(D354),ISBLANK(F354)),"-",
         IF(L354="L","Baixa",IF(L354="A","Média",IF(L354="H","Alta","-")))),
      IF('Dados da OS'!$D$8=Parâmetros!$B$4,
         IF(OR(B354="ALI",B354="AIE"),"Baixa",IF(OR(B354="EE",B354="SE",B354="CE"),"Média","-")),
         IF(OR('Dados da OS'!$D$8=Parâmetros!$B$5,'Dados da OS'!$D$8=Parâmetros!$B$6),"-"))))</f>
        <v>-</v>
      </c>
      <c r="P354" s="59" t="str">
        <f xml:space="preserve">
IF(OR(ISBLANK(B354),ISBLANK(C354),B354="N/A",ISBLANK('Dados da OS'!$D$8)),"",
   IF(OR('Dados da OS'!$D$8=Parâmetros!$B$3,'Dados da OS'!$D$8=Parâmetros!$B$4),
      IF(OR(AND(B354="INM",N354&lt;&gt;"VF"),AND(N354="VF",B354&lt;&gt;"INM")),"",
        IF(AND(B354="INM",N354="VF"),IF(ISBLANK(H354),"",M354*H354),
        IF('Dados da OS'!$D$8=Parâmetros!$B$4,
           IF(OR(B354="CE",B354="EE"),4,IF(B354="SE",5,IF(B354="ALI",7,IF(B354="AIE",5,"")))),
        IF('Dados da OS'!$D$8=Parâmetros!$B$3,
           IF(OR(ISBLANK(D354),ISBLANK(F354)),"",
              IF(B354="ALI",IF(L354="L",7,IF(L354="A",10,15)),
                 IF(B354="AIE",IF(L354="L",5,IF(L354="A",7,10)),
                    IF(B354="SE",IF(L354="L",4,IF(L354="A",5,7)),
                       IF(OR(B354="EE",B354="CE"),IF(L354="L",3,IF(L354="A",4,6)),""))))))))),
   IF('Dados da OS'!$D$8=Parâmetros!$B$5,
      IF(OR(AND(B354="INM",N354&lt;&gt;"VF"),AND(N354="VF",B354&lt;&gt;"INM")),"",
         IF(B354="INM",IF(N354="VF",M354*H354,""),
            IF(B354="PE",4.6,
            IF(B354="AL",7,"")))),
   IF('Dados da OS'!$D$8=Parâmetros!$B$6,
      IF(B354="ALI",35,IF(B354="AIE",15,"")),""))
    )
)</f>
        <v/>
      </c>
      <c r="Q354" s="60" t="str">
        <f t="shared" si="37"/>
        <v/>
      </c>
      <c r="R354" s="61"/>
      <c r="S354" s="62"/>
      <c r="T354" s="80" t="s">
        <v>21</v>
      </c>
      <c r="U354" s="81"/>
      <c r="V354" s="99"/>
      <c r="W354" s="55"/>
      <c r="X354" s="55"/>
      <c r="Y354" s="56"/>
      <c r="Z354" s="55"/>
      <c r="AA354" s="56"/>
      <c r="AB354" s="55"/>
      <c r="AC354" s="57" t="str">
        <f t="shared" si="38"/>
        <v/>
      </c>
      <c r="AD354" s="57" t="str">
        <f t="shared" si="39"/>
        <v/>
      </c>
      <c r="AE354" s="57" t="str">
        <f xml:space="preserve">
IF(OR('Dados da OS'!$D$8=Parâmetros!$B$3,'Dados da OS'!$D$8=Parâmetros!$B$4),
  IF(OR(ISBLANK(X354),ISBLANK(Z354)),
     IF(OR(V354="ALI",V354="AIE"),"L",IF(ISBLANK(V354),"","A")),
     IF(V354="EE",IF(Z354&gt;=3,IF(X354&gt;=5,"H","A"),
     IF(Z354&gt;=2,IF(X354&gt;=16,"H",IF(X354&lt;=4,"L","A")),IF(X354&lt;=15,"L","A"))),
     IF(OR(V354="SE",V354="CE"),IF(Z354&gt;=4,IF(X354&gt;=6,"H","A"),IF(Z354&gt;=2,IF(X354&gt;=20,"H",IF(X354&lt;=5,"L","A")),IF(X354&lt;=19,"L","A"))),
     IF(OR(V354="ALI",V354="AIE"),IF(Z354&gt;=6,IF(X354&gt;=20,"H","A"),IF(Z354&gt;=2,IF(X354&gt;=51,"H",IF(X354&lt;=19,"L","A")),IF(X354&lt;=50,"L","A"))))))),
IF('Dados da OS'!$D$8=Parâmetros!$B$6,"Indicativa",
IF('Dados da OS'!$D$8=Parâmetros!$B$5,"PFS","")))</f>
        <v/>
      </c>
      <c r="AF354" s="57">
        <f>IFERROR(VLOOKUP(W354,'Fatores de Impacto e INMs'!$A$3:$D$32,3,0),1)</f>
        <v>1</v>
      </c>
      <c r="AG354" s="57">
        <f>IFERROR(VLOOKUP(W354,'Fatores de Impacto e INMs'!$A$3:$E$32,5,0),1)</f>
        <v>1</v>
      </c>
      <c r="AH354" s="82" t="str">
        <f xml:space="preserve">
IF(OR('Dados da OS'!$D$8="Selecione o tipo da contagem",ISBLANK('Dados da OS'!$D$8),V354="INM",V354="N/A",ISBLANK(V354),ISBLANK(W354),AG354="VF"),"-",
   IF('Dados da OS'!$D$8=Parâmetros!$B$3,
      IF(OR(ISBLANK(X354),ISBLANK(Z354)),"-",
         IF(AE354="L","Baixa",IF(AE354="A","Média",IF(AE354="H","Alta","-")))),
      IF('Dados da OS'!$D$8=Parâmetros!$B$4,
         IF(OR(V354="ALI",V354="AIE"),"Baixa",IF(OR(V354="EE",V354="SE",V354="CE"),"Média","-")),
         IF(OR('Dados da OS'!$D$8=Parâmetros!$B$5,'Dados da OS'!$D$8=Parâmetros!$B$6),"-"))))</f>
        <v>-</v>
      </c>
      <c r="AI354" s="83" t="str">
        <f xml:space="preserve">
IF(OR(ISBLANK(V354),ISBLANK(U354),ISBLANK(W354),V354="N/A",ISBLANK('Dados da OS'!$D$8)),"",
   IF(OR('Dados da OS'!$D$8=Parâmetros!$B$3,'Dados da OS'!$D$8=Parâmetros!$B$4),
      IF(OR(AND(V354="INM",AG354&lt;&gt;"VF"),AND(AG354="VF",V354&lt;&gt;"INM")),"",
        IF(AND(V354="INM",AG354="VF"),IF(ISBLANK(AB354),"",AF354*AB354),
        IF('Dados da OS'!$D$8=Parâmetros!$B$4,
           IF(OR(V354="CE",V354="EE"),4,IF(V354="SE",5,IF(V354="ALI",7,IF(V354="AIE",5,"")))),
        IF('Dados da OS'!$D$8=Parâmetros!$B$3,
           IF(OR(ISBLANK(X354),ISBLANK(Z354)),"",
              IF(V354="ALI",IF(AE354="L",7,IF(AE354="A",10,15)),
                 IF(V354="AIE",IF(AE354="L",5,IF(AE354="A",7,10)),
                    IF(V354="SE",IF(AE354="L",4,IF(AE354="A",5,7)),
                       IF(OR(V354="EE",V354="CE"),IF(AE354="L",3,IF(AE354="A",4,6)),""))))))))),
   IF('Dados da OS'!$D$8=Parâmetros!$B$5,
      IF(OR(AND(V354="INM",AG354&lt;&gt;"VF"),AND(AG354="VF",V354&lt;&gt;"INM")),"",
         IF(V354="INM",IF(AG354="VF",AF354*AB354,""),
            IF(V354="PE",4.6,
            IF(V354="AL",7,"")))),
   IF('Dados da OS'!$D$8=Parâmetros!$B$6,
      IF(V354="ALI",35,IF(V354="AIE",15,"")),""))
    )
)</f>
        <v/>
      </c>
      <c r="AJ354" s="82" t="str">
        <f t="shared" si="40"/>
        <v/>
      </c>
      <c r="AK354" s="84"/>
      <c r="AL354" s="85" t="s">
        <v>21</v>
      </c>
      <c r="AM354" s="86"/>
      <c r="AN354" s="85"/>
      <c r="AO354" s="87"/>
      <c r="AP354" s="85"/>
      <c r="AQ354" s="86"/>
      <c r="AR354" s="85"/>
    </row>
    <row r="355" spans="1:44" ht="15.75" customHeight="1">
      <c r="A355" s="54"/>
      <c r="B355" s="100"/>
      <c r="C355" s="55"/>
      <c r="D355" s="55"/>
      <c r="E355" s="56"/>
      <c r="F355" s="55"/>
      <c r="G355" s="56"/>
      <c r="H355" s="55"/>
      <c r="I355" s="64"/>
      <c r="J355" s="57" t="str">
        <f t="shared" si="35"/>
        <v/>
      </c>
      <c r="K355" s="57" t="str">
        <f t="shared" si="36"/>
        <v/>
      </c>
      <c r="L355" s="57" t="str">
        <f xml:space="preserve">
IF(OR('Dados da OS'!$D$8=Parâmetros!$B$3,'Dados da OS'!$D$8=Parâmetros!$B$4),
  IF(OR(ISBLANK(D355),ISBLANK(F355)),
     IF(OR(B355="ALI",B355="AIE"),"L",IF(ISBLANK(B355),"","A")),
     IF(B355="EE",IF(F355&gt;=3,IF(D355&gt;=5,"H","A"),
     IF(F355&gt;=2,IF(D355&gt;=16,"H",IF(D355&lt;=4,"L","A")),IF(D355&lt;=15,"L","A"))),
     IF(OR(B355="SE",B355="CE"),IF(F355&gt;=4,IF(D355&gt;=6,"H","A"),IF(F355&gt;=2,IF(D355&gt;=20,"H",IF(D355&lt;=5,"L","A")),IF(D355&lt;=19,"L","A"))),
     IF(OR(B355="ALI",B355="AIE"),IF(F355&gt;=6,IF(D355&gt;=20,"H","A"),IF(F355&gt;=2,IF(D355&gt;=51,"H",IF(D355&lt;=19,"L","A")),IF(D355&lt;=50,"L","A"))))))),
IF('Dados da OS'!$D$8=Parâmetros!$B$6,"Indicativa",
IF('Dados da OS'!$D$8=Parâmetros!$B$5,"PFS","")))</f>
        <v/>
      </c>
      <c r="M355" s="57">
        <f>IFERROR(VLOOKUP(C355,'Fatores de Impacto e INMs'!$A$3:$D$32,3,0),1)</f>
        <v>1</v>
      </c>
      <c r="N355" s="57">
        <f>IFERROR(VLOOKUP(C355,'Fatores de Impacto e INMs'!$A$3:$E$32,5,0),1)</f>
        <v>1</v>
      </c>
      <c r="O355" s="63" t="str">
        <f xml:space="preserve">
IF(OR('Dados da OS'!$D$8="Selecione o tipo da contagem",ISBLANK('Dados da OS'!$D$8),B355="INM",B355="N/A",ISBLANK(B355),ISBLANK(C355),N355="VF"),"-",
   IF('Dados da OS'!$D$8=Parâmetros!$B$3,
      IF(OR(ISBLANK(D355),ISBLANK(F355)),"-",
         IF(L355="L","Baixa",IF(L355="A","Média",IF(L355="H","Alta","-")))),
      IF('Dados da OS'!$D$8=Parâmetros!$B$4,
         IF(OR(B355="ALI",B355="AIE"),"Baixa",IF(OR(B355="EE",B355="SE",B355="CE"),"Média","-")),
         IF(OR('Dados da OS'!$D$8=Parâmetros!$B$5,'Dados da OS'!$D$8=Parâmetros!$B$6),"-"))))</f>
        <v>-</v>
      </c>
      <c r="P355" s="59" t="str">
        <f xml:space="preserve">
IF(OR(ISBLANK(B355),ISBLANK(C355),B355="N/A",ISBLANK('Dados da OS'!$D$8)),"",
   IF(OR('Dados da OS'!$D$8=Parâmetros!$B$3,'Dados da OS'!$D$8=Parâmetros!$B$4),
      IF(OR(AND(B355="INM",N355&lt;&gt;"VF"),AND(N355="VF",B355&lt;&gt;"INM")),"",
        IF(AND(B355="INM",N355="VF"),IF(ISBLANK(H355),"",M355*H355),
        IF('Dados da OS'!$D$8=Parâmetros!$B$4,
           IF(OR(B355="CE",B355="EE"),4,IF(B355="SE",5,IF(B355="ALI",7,IF(B355="AIE",5,"")))),
        IF('Dados da OS'!$D$8=Parâmetros!$B$3,
           IF(OR(ISBLANK(D355),ISBLANK(F355)),"",
              IF(B355="ALI",IF(L355="L",7,IF(L355="A",10,15)),
                 IF(B355="AIE",IF(L355="L",5,IF(L355="A",7,10)),
                    IF(B355="SE",IF(L355="L",4,IF(L355="A",5,7)),
                       IF(OR(B355="EE",B355="CE"),IF(L355="L",3,IF(L355="A",4,6)),""))))))))),
   IF('Dados da OS'!$D$8=Parâmetros!$B$5,
      IF(OR(AND(B355="INM",N355&lt;&gt;"VF"),AND(N355="VF",B355&lt;&gt;"INM")),"",
         IF(B355="INM",IF(N355="VF",M355*H355,""),
            IF(B355="PE",4.6,
            IF(B355="AL",7,"")))),
   IF('Dados da OS'!$D$8=Parâmetros!$B$6,
      IF(B355="ALI",35,IF(B355="AIE",15,"")),""))
    )
)</f>
        <v/>
      </c>
      <c r="Q355" s="60" t="str">
        <f t="shared" si="37"/>
        <v/>
      </c>
      <c r="R355" s="61"/>
      <c r="S355" s="62"/>
      <c r="T355" s="80" t="s">
        <v>21</v>
      </c>
      <c r="U355" s="81"/>
      <c r="V355" s="99"/>
      <c r="W355" s="55"/>
      <c r="X355" s="55"/>
      <c r="Y355" s="56"/>
      <c r="Z355" s="55"/>
      <c r="AA355" s="56"/>
      <c r="AB355" s="55"/>
      <c r="AC355" s="57" t="str">
        <f t="shared" si="38"/>
        <v/>
      </c>
      <c r="AD355" s="57" t="str">
        <f t="shared" si="39"/>
        <v/>
      </c>
      <c r="AE355" s="57" t="str">
        <f xml:space="preserve">
IF(OR('Dados da OS'!$D$8=Parâmetros!$B$3,'Dados da OS'!$D$8=Parâmetros!$B$4),
  IF(OR(ISBLANK(X355),ISBLANK(Z355)),
     IF(OR(V355="ALI",V355="AIE"),"L",IF(ISBLANK(V355),"","A")),
     IF(V355="EE",IF(Z355&gt;=3,IF(X355&gt;=5,"H","A"),
     IF(Z355&gt;=2,IF(X355&gt;=16,"H",IF(X355&lt;=4,"L","A")),IF(X355&lt;=15,"L","A"))),
     IF(OR(V355="SE",V355="CE"),IF(Z355&gt;=4,IF(X355&gt;=6,"H","A"),IF(Z355&gt;=2,IF(X355&gt;=20,"H",IF(X355&lt;=5,"L","A")),IF(X355&lt;=19,"L","A"))),
     IF(OR(V355="ALI",V355="AIE"),IF(Z355&gt;=6,IF(X355&gt;=20,"H","A"),IF(Z355&gt;=2,IF(X355&gt;=51,"H",IF(X355&lt;=19,"L","A")),IF(X355&lt;=50,"L","A"))))))),
IF('Dados da OS'!$D$8=Parâmetros!$B$6,"Indicativa",
IF('Dados da OS'!$D$8=Parâmetros!$B$5,"PFS","")))</f>
        <v/>
      </c>
      <c r="AF355" s="57">
        <f>IFERROR(VLOOKUP(W355,'Fatores de Impacto e INMs'!$A$3:$D$32,3,0),1)</f>
        <v>1</v>
      </c>
      <c r="AG355" s="57">
        <f>IFERROR(VLOOKUP(W355,'Fatores de Impacto e INMs'!$A$3:$E$32,5,0),1)</f>
        <v>1</v>
      </c>
      <c r="AH355" s="82" t="str">
        <f xml:space="preserve">
IF(OR('Dados da OS'!$D$8="Selecione o tipo da contagem",ISBLANK('Dados da OS'!$D$8),V355="INM",V355="N/A",ISBLANK(V355),ISBLANK(W355),AG355="VF"),"-",
   IF('Dados da OS'!$D$8=Parâmetros!$B$3,
      IF(OR(ISBLANK(X355),ISBLANK(Z355)),"-",
         IF(AE355="L","Baixa",IF(AE355="A","Média",IF(AE355="H","Alta","-")))),
      IF('Dados da OS'!$D$8=Parâmetros!$B$4,
         IF(OR(V355="ALI",V355="AIE"),"Baixa",IF(OR(V355="EE",V355="SE",V355="CE"),"Média","-")),
         IF(OR('Dados da OS'!$D$8=Parâmetros!$B$5,'Dados da OS'!$D$8=Parâmetros!$B$6),"-"))))</f>
        <v>-</v>
      </c>
      <c r="AI355" s="83" t="str">
        <f xml:space="preserve">
IF(OR(ISBLANK(V355),ISBLANK(U355),ISBLANK(W355),V355="N/A",ISBLANK('Dados da OS'!$D$8)),"",
   IF(OR('Dados da OS'!$D$8=Parâmetros!$B$3,'Dados da OS'!$D$8=Parâmetros!$B$4),
      IF(OR(AND(V355="INM",AG355&lt;&gt;"VF"),AND(AG355="VF",V355&lt;&gt;"INM")),"",
        IF(AND(V355="INM",AG355="VF"),IF(ISBLANK(AB355),"",AF355*AB355),
        IF('Dados da OS'!$D$8=Parâmetros!$B$4,
           IF(OR(V355="CE",V355="EE"),4,IF(V355="SE",5,IF(V355="ALI",7,IF(V355="AIE",5,"")))),
        IF('Dados da OS'!$D$8=Parâmetros!$B$3,
           IF(OR(ISBLANK(X355),ISBLANK(Z355)),"",
              IF(V355="ALI",IF(AE355="L",7,IF(AE355="A",10,15)),
                 IF(V355="AIE",IF(AE355="L",5,IF(AE355="A",7,10)),
                    IF(V355="SE",IF(AE355="L",4,IF(AE355="A",5,7)),
                       IF(OR(V355="EE",V355="CE"),IF(AE355="L",3,IF(AE355="A",4,6)),""))))))))),
   IF('Dados da OS'!$D$8=Parâmetros!$B$5,
      IF(OR(AND(V355="INM",AG355&lt;&gt;"VF"),AND(AG355="VF",V355&lt;&gt;"INM")),"",
         IF(V355="INM",IF(AG355="VF",AF355*AB355,""),
            IF(V355="PE",4.6,
            IF(V355="AL",7,"")))),
   IF('Dados da OS'!$D$8=Parâmetros!$B$6,
      IF(V355="ALI",35,IF(V355="AIE",15,"")),""))
    )
)</f>
        <v/>
      </c>
      <c r="AJ355" s="82" t="str">
        <f t="shared" si="40"/>
        <v/>
      </c>
      <c r="AK355" s="84"/>
      <c r="AL355" s="85" t="s">
        <v>21</v>
      </c>
      <c r="AM355" s="86"/>
      <c r="AN355" s="85"/>
      <c r="AO355" s="87"/>
      <c r="AP355" s="85"/>
      <c r="AQ355" s="86"/>
      <c r="AR355" s="85"/>
    </row>
    <row r="356" spans="1:44" ht="15.75" customHeight="1">
      <c r="A356" s="54"/>
      <c r="B356" s="100"/>
      <c r="C356" s="55"/>
      <c r="D356" s="55"/>
      <c r="E356" s="56"/>
      <c r="F356" s="55"/>
      <c r="G356" s="56"/>
      <c r="H356" s="55"/>
      <c r="I356" s="64"/>
      <c r="J356" s="57" t="str">
        <f t="shared" si="35"/>
        <v/>
      </c>
      <c r="K356" s="57" t="str">
        <f t="shared" si="36"/>
        <v/>
      </c>
      <c r="L356" s="57" t="str">
        <f xml:space="preserve">
IF(OR('Dados da OS'!$D$8=Parâmetros!$B$3,'Dados da OS'!$D$8=Parâmetros!$B$4),
  IF(OR(ISBLANK(D356),ISBLANK(F356)),
     IF(OR(B356="ALI",B356="AIE"),"L",IF(ISBLANK(B356),"","A")),
     IF(B356="EE",IF(F356&gt;=3,IF(D356&gt;=5,"H","A"),
     IF(F356&gt;=2,IF(D356&gt;=16,"H",IF(D356&lt;=4,"L","A")),IF(D356&lt;=15,"L","A"))),
     IF(OR(B356="SE",B356="CE"),IF(F356&gt;=4,IF(D356&gt;=6,"H","A"),IF(F356&gt;=2,IF(D356&gt;=20,"H",IF(D356&lt;=5,"L","A")),IF(D356&lt;=19,"L","A"))),
     IF(OR(B356="ALI",B356="AIE"),IF(F356&gt;=6,IF(D356&gt;=20,"H","A"),IF(F356&gt;=2,IF(D356&gt;=51,"H",IF(D356&lt;=19,"L","A")),IF(D356&lt;=50,"L","A"))))))),
IF('Dados da OS'!$D$8=Parâmetros!$B$6,"Indicativa",
IF('Dados da OS'!$D$8=Parâmetros!$B$5,"PFS","")))</f>
        <v/>
      </c>
      <c r="M356" s="57">
        <f>IFERROR(VLOOKUP(C356,'Fatores de Impacto e INMs'!$A$3:$D$32,3,0),1)</f>
        <v>1</v>
      </c>
      <c r="N356" s="57">
        <f>IFERROR(VLOOKUP(C356,'Fatores de Impacto e INMs'!$A$3:$E$32,5,0),1)</f>
        <v>1</v>
      </c>
      <c r="O356" s="63" t="str">
        <f xml:space="preserve">
IF(OR('Dados da OS'!$D$8="Selecione o tipo da contagem",ISBLANK('Dados da OS'!$D$8),B356="INM",B356="N/A",ISBLANK(B356),ISBLANK(C356),N356="VF"),"-",
   IF('Dados da OS'!$D$8=Parâmetros!$B$3,
      IF(OR(ISBLANK(D356),ISBLANK(F356)),"-",
         IF(L356="L","Baixa",IF(L356="A","Média",IF(L356="H","Alta","-")))),
      IF('Dados da OS'!$D$8=Parâmetros!$B$4,
         IF(OR(B356="ALI",B356="AIE"),"Baixa",IF(OR(B356="EE",B356="SE",B356="CE"),"Média","-")),
         IF(OR('Dados da OS'!$D$8=Parâmetros!$B$5,'Dados da OS'!$D$8=Parâmetros!$B$6),"-"))))</f>
        <v>-</v>
      </c>
      <c r="P356" s="59" t="str">
        <f xml:space="preserve">
IF(OR(ISBLANK(B356),ISBLANK(C356),B356="N/A",ISBLANK('Dados da OS'!$D$8)),"",
   IF(OR('Dados da OS'!$D$8=Parâmetros!$B$3,'Dados da OS'!$D$8=Parâmetros!$B$4),
      IF(OR(AND(B356="INM",N356&lt;&gt;"VF"),AND(N356="VF",B356&lt;&gt;"INM")),"",
        IF(AND(B356="INM",N356="VF"),IF(ISBLANK(H356),"",M356*H356),
        IF('Dados da OS'!$D$8=Parâmetros!$B$4,
           IF(OR(B356="CE",B356="EE"),4,IF(B356="SE",5,IF(B356="ALI",7,IF(B356="AIE",5,"")))),
        IF('Dados da OS'!$D$8=Parâmetros!$B$3,
           IF(OR(ISBLANK(D356),ISBLANK(F356)),"",
              IF(B356="ALI",IF(L356="L",7,IF(L356="A",10,15)),
                 IF(B356="AIE",IF(L356="L",5,IF(L356="A",7,10)),
                    IF(B356="SE",IF(L356="L",4,IF(L356="A",5,7)),
                       IF(OR(B356="EE",B356="CE"),IF(L356="L",3,IF(L356="A",4,6)),""))))))))),
   IF('Dados da OS'!$D$8=Parâmetros!$B$5,
      IF(OR(AND(B356="INM",N356&lt;&gt;"VF"),AND(N356="VF",B356&lt;&gt;"INM")),"",
         IF(B356="INM",IF(N356="VF",M356*H356,""),
            IF(B356="PE",4.6,
            IF(B356="AL",7,"")))),
   IF('Dados da OS'!$D$8=Parâmetros!$B$6,
      IF(B356="ALI",35,IF(B356="AIE",15,"")),""))
    )
)</f>
        <v/>
      </c>
      <c r="Q356" s="60" t="str">
        <f t="shared" si="37"/>
        <v/>
      </c>
      <c r="R356" s="61"/>
      <c r="S356" s="62"/>
      <c r="T356" s="80" t="s">
        <v>21</v>
      </c>
      <c r="U356" s="81"/>
      <c r="V356" s="99"/>
      <c r="W356" s="55"/>
      <c r="X356" s="55"/>
      <c r="Y356" s="56"/>
      <c r="Z356" s="55"/>
      <c r="AA356" s="56"/>
      <c r="AB356" s="55"/>
      <c r="AC356" s="57" t="str">
        <f t="shared" si="38"/>
        <v/>
      </c>
      <c r="AD356" s="57" t="str">
        <f t="shared" si="39"/>
        <v/>
      </c>
      <c r="AE356" s="57" t="str">
        <f xml:space="preserve">
IF(OR('Dados da OS'!$D$8=Parâmetros!$B$3,'Dados da OS'!$D$8=Parâmetros!$B$4),
  IF(OR(ISBLANK(X356),ISBLANK(Z356)),
     IF(OR(V356="ALI",V356="AIE"),"L",IF(ISBLANK(V356),"","A")),
     IF(V356="EE",IF(Z356&gt;=3,IF(X356&gt;=5,"H","A"),
     IF(Z356&gt;=2,IF(X356&gt;=16,"H",IF(X356&lt;=4,"L","A")),IF(X356&lt;=15,"L","A"))),
     IF(OR(V356="SE",V356="CE"),IF(Z356&gt;=4,IF(X356&gt;=6,"H","A"),IF(Z356&gt;=2,IF(X356&gt;=20,"H",IF(X356&lt;=5,"L","A")),IF(X356&lt;=19,"L","A"))),
     IF(OR(V356="ALI",V356="AIE"),IF(Z356&gt;=6,IF(X356&gt;=20,"H","A"),IF(Z356&gt;=2,IF(X356&gt;=51,"H",IF(X356&lt;=19,"L","A")),IF(X356&lt;=50,"L","A"))))))),
IF('Dados da OS'!$D$8=Parâmetros!$B$6,"Indicativa",
IF('Dados da OS'!$D$8=Parâmetros!$B$5,"PFS","")))</f>
        <v/>
      </c>
      <c r="AF356" s="57">
        <f>IFERROR(VLOOKUP(W356,'Fatores de Impacto e INMs'!$A$3:$D$32,3,0),1)</f>
        <v>1</v>
      </c>
      <c r="AG356" s="57">
        <f>IFERROR(VLOOKUP(W356,'Fatores de Impacto e INMs'!$A$3:$E$32,5,0),1)</f>
        <v>1</v>
      </c>
      <c r="AH356" s="82" t="str">
        <f xml:space="preserve">
IF(OR('Dados da OS'!$D$8="Selecione o tipo da contagem",ISBLANK('Dados da OS'!$D$8),V356="INM",V356="N/A",ISBLANK(V356),ISBLANK(W356),AG356="VF"),"-",
   IF('Dados da OS'!$D$8=Parâmetros!$B$3,
      IF(OR(ISBLANK(X356),ISBLANK(Z356)),"-",
         IF(AE356="L","Baixa",IF(AE356="A","Média",IF(AE356="H","Alta","-")))),
      IF('Dados da OS'!$D$8=Parâmetros!$B$4,
         IF(OR(V356="ALI",V356="AIE"),"Baixa",IF(OR(V356="EE",V356="SE",V356="CE"),"Média","-")),
         IF(OR('Dados da OS'!$D$8=Parâmetros!$B$5,'Dados da OS'!$D$8=Parâmetros!$B$6),"-"))))</f>
        <v>-</v>
      </c>
      <c r="AI356" s="83" t="str">
        <f xml:space="preserve">
IF(OR(ISBLANK(V356),ISBLANK(U356),ISBLANK(W356),V356="N/A",ISBLANK('Dados da OS'!$D$8)),"",
   IF(OR('Dados da OS'!$D$8=Parâmetros!$B$3,'Dados da OS'!$D$8=Parâmetros!$B$4),
      IF(OR(AND(V356="INM",AG356&lt;&gt;"VF"),AND(AG356="VF",V356&lt;&gt;"INM")),"",
        IF(AND(V356="INM",AG356="VF"),IF(ISBLANK(AB356),"",AF356*AB356),
        IF('Dados da OS'!$D$8=Parâmetros!$B$4,
           IF(OR(V356="CE",V356="EE"),4,IF(V356="SE",5,IF(V356="ALI",7,IF(V356="AIE",5,"")))),
        IF('Dados da OS'!$D$8=Parâmetros!$B$3,
           IF(OR(ISBLANK(X356),ISBLANK(Z356)),"",
              IF(V356="ALI",IF(AE356="L",7,IF(AE356="A",10,15)),
                 IF(V356="AIE",IF(AE356="L",5,IF(AE356="A",7,10)),
                    IF(V356="SE",IF(AE356="L",4,IF(AE356="A",5,7)),
                       IF(OR(V356="EE",V356="CE"),IF(AE356="L",3,IF(AE356="A",4,6)),""))))))))),
   IF('Dados da OS'!$D$8=Parâmetros!$B$5,
      IF(OR(AND(V356="INM",AG356&lt;&gt;"VF"),AND(AG356="VF",V356&lt;&gt;"INM")),"",
         IF(V356="INM",IF(AG356="VF",AF356*AB356,""),
            IF(V356="PE",4.6,
            IF(V356="AL",7,"")))),
   IF('Dados da OS'!$D$8=Parâmetros!$B$6,
      IF(V356="ALI",35,IF(V356="AIE",15,"")),""))
    )
)</f>
        <v/>
      </c>
      <c r="AJ356" s="82" t="str">
        <f t="shared" si="40"/>
        <v/>
      </c>
      <c r="AK356" s="84"/>
      <c r="AL356" s="85" t="s">
        <v>21</v>
      </c>
      <c r="AM356" s="86"/>
      <c r="AN356" s="85"/>
      <c r="AO356" s="87"/>
      <c r="AP356" s="85"/>
      <c r="AQ356" s="86"/>
      <c r="AR356" s="85"/>
    </row>
    <row r="357" spans="1:44" ht="15.75" customHeight="1">
      <c r="A357" s="54"/>
      <c r="B357" s="100"/>
      <c r="C357" s="55"/>
      <c r="D357" s="55"/>
      <c r="E357" s="56"/>
      <c r="F357" s="55"/>
      <c r="G357" s="56"/>
      <c r="H357" s="55"/>
      <c r="I357" s="64"/>
      <c r="J357" s="57" t="str">
        <f t="shared" si="35"/>
        <v/>
      </c>
      <c r="K357" s="57" t="str">
        <f t="shared" si="36"/>
        <v/>
      </c>
      <c r="L357" s="57" t="str">
        <f xml:space="preserve">
IF(OR('Dados da OS'!$D$8=Parâmetros!$B$3,'Dados da OS'!$D$8=Parâmetros!$B$4),
  IF(OR(ISBLANK(D357),ISBLANK(F357)),
     IF(OR(B357="ALI",B357="AIE"),"L",IF(ISBLANK(B357),"","A")),
     IF(B357="EE",IF(F357&gt;=3,IF(D357&gt;=5,"H","A"),
     IF(F357&gt;=2,IF(D357&gt;=16,"H",IF(D357&lt;=4,"L","A")),IF(D357&lt;=15,"L","A"))),
     IF(OR(B357="SE",B357="CE"),IF(F357&gt;=4,IF(D357&gt;=6,"H","A"),IF(F357&gt;=2,IF(D357&gt;=20,"H",IF(D357&lt;=5,"L","A")),IF(D357&lt;=19,"L","A"))),
     IF(OR(B357="ALI",B357="AIE"),IF(F357&gt;=6,IF(D357&gt;=20,"H","A"),IF(F357&gt;=2,IF(D357&gt;=51,"H",IF(D357&lt;=19,"L","A")),IF(D357&lt;=50,"L","A"))))))),
IF('Dados da OS'!$D$8=Parâmetros!$B$6,"Indicativa",
IF('Dados da OS'!$D$8=Parâmetros!$B$5,"PFS","")))</f>
        <v/>
      </c>
      <c r="M357" s="57">
        <f>IFERROR(VLOOKUP(C357,'Fatores de Impacto e INMs'!$A$3:$D$32,3,0),1)</f>
        <v>1</v>
      </c>
      <c r="N357" s="57">
        <f>IFERROR(VLOOKUP(C357,'Fatores de Impacto e INMs'!$A$3:$E$32,5,0),1)</f>
        <v>1</v>
      </c>
      <c r="O357" s="63" t="str">
        <f xml:space="preserve">
IF(OR('Dados da OS'!$D$8="Selecione o tipo da contagem",ISBLANK('Dados da OS'!$D$8),B357="INM",B357="N/A",ISBLANK(B357),ISBLANK(C357),N357="VF"),"-",
   IF('Dados da OS'!$D$8=Parâmetros!$B$3,
      IF(OR(ISBLANK(D357),ISBLANK(F357)),"-",
         IF(L357="L","Baixa",IF(L357="A","Média",IF(L357="H","Alta","-")))),
      IF('Dados da OS'!$D$8=Parâmetros!$B$4,
         IF(OR(B357="ALI",B357="AIE"),"Baixa",IF(OR(B357="EE",B357="SE",B357="CE"),"Média","-")),
         IF(OR('Dados da OS'!$D$8=Parâmetros!$B$5,'Dados da OS'!$D$8=Parâmetros!$B$6),"-"))))</f>
        <v>-</v>
      </c>
      <c r="P357" s="59" t="str">
        <f xml:space="preserve">
IF(OR(ISBLANK(B357),ISBLANK(C357),B357="N/A",ISBLANK('Dados da OS'!$D$8)),"",
   IF(OR('Dados da OS'!$D$8=Parâmetros!$B$3,'Dados da OS'!$D$8=Parâmetros!$B$4),
      IF(OR(AND(B357="INM",N357&lt;&gt;"VF"),AND(N357="VF",B357&lt;&gt;"INM")),"",
        IF(AND(B357="INM",N357="VF"),IF(ISBLANK(H357),"",M357*H357),
        IF('Dados da OS'!$D$8=Parâmetros!$B$4,
           IF(OR(B357="CE",B357="EE"),4,IF(B357="SE",5,IF(B357="ALI",7,IF(B357="AIE",5,"")))),
        IF('Dados da OS'!$D$8=Parâmetros!$B$3,
           IF(OR(ISBLANK(D357),ISBLANK(F357)),"",
              IF(B357="ALI",IF(L357="L",7,IF(L357="A",10,15)),
                 IF(B357="AIE",IF(L357="L",5,IF(L357="A",7,10)),
                    IF(B357="SE",IF(L357="L",4,IF(L357="A",5,7)),
                       IF(OR(B357="EE",B357="CE"),IF(L357="L",3,IF(L357="A",4,6)),""))))))))),
   IF('Dados da OS'!$D$8=Parâmetros!$B$5,
      IF(OR(AND(B357="INM",N357&lt;&gt;"VF"),AND(N357="VF",B357&lt;&gt;"INM")),"",
         IF(B357="INM",IF(N357="VF",M357*H357,""),
            IF(B357="PE",4.6,
            IF(B357="AL",7,"")))),
   IF('Dados da OS'!$D$8=Parâmetros!$B$6,
      IF(B357="ALI",35,IF(B357="AIE",15,"")),""))
    )
)</f>
        <v/>
      </c>
      <c r="Q357" s="60" t="str">
        <f t="shared" si="37"/>
        <v/>
      </c>
      <c r="R357" s="61"/>
      <c r="S357" s="62"/>
      <c r="T357" s="80" t="s">
        <v>21</v>
      </c>
      <c r="U357" s="81"/>
      <c r="V357" s="99"/>
      <c r="W357" s="55"/>
      <c r="X357" s="55"/>
      <c r="Y357" s="56"/>
      <c r="Z357" s="55"/>
      <c r="AA357" s="56"/>
      <c r="AB357" s="55"/>
      <c r="AC357" s="57" t="str">
        <f t="shared" si="38"/>
        <v/>
      </c>
      <c r="AD357" s="57" t="str">
        <f t="shared" si="39"/>
        <v/>
      </c>
      <c r="AE357" s="57" t="str">
        <f xml:space="preserve">
IF(OR('Dados da OS'!$D$8=Parâmetros!$B$3,'Dados da OS'!$D$8=Parâmetros!$B$4),
  IF(OR(ISBLANK(X357),ISBLANK(Z357)),
     IF(OR(V357="ALI",V357="AIE"),"L",IF(ISBLANK(V357),"","A")),
     IF(V357="EE",IF(Z357&gt;=3,IF(X357&gt;=5,"H","A"),
     IF(Z357&gt;=2,IF(X357&gt;=16,"H",IF(X357&lt;=4,"L","A")),IF(X357&lt;=15,"L","A"))),
     IF(OR(V357="SE",V357="CE"),IF(Z357&gt;=4,IF(X357&gt;=6,"H","A"),IF(Z357&gt;=2,IF(X357&gt;=20,"H",IF(X357&lt;=5,"L","A")),IF(X357&lt;=19,"L","A"))),
     IF(OR(V357="ALI",V357="AIE"),IF(Z357&gt;=6,IF(X357&gt;=20,"H","A"),IF(Z357&gt;=2,IF(X357&gt;=51,"H",IF(X357&lt;=19,"L","A")),IF(X357&lt;=50,"L","A"))))))),
IF('Dados da OS'!$D$8=Parâmetros!$B$6,"Indicativa",
IF('Dados da OS'!$D$8=Parâmetros!$B$5,"PFS","")))</f>
        <v/>
      </c>
      <c r="AF357" s="57">
        <f>IFERROR(VLOOKUP(W357,'Fatores de Impacto e INMs'!$A$3:$D$32,3,0),1)</f>
        <v>1</v>
      </c>
      <c r="AG357" s="57">
        <f>IFERROR(VLOOKUP(W357,'Fatores de Impacto e INMs'!$A$3:$E$32,5,0),1)</f>
        <v>1</v>
      </c>
      <c r="AH357" s="82" t="str">
        <f xml:space="preserve">
IF(OR('Dados da OS'!$D$8="Selecione o tipo da contagem",ISBLANK('Dados da OS'!$D$8),V357="INM",V357="N/A",ISBLANK(V357),ISBLANK(W357),AG357="VF"),"-",
   IF('Dados da OS'!$D$8=Parâmetros!$B$3,
      IF(OR(ISBLANK(X357),ISBLANK(Z357)),"-",
         IF(AE357="L","Baixa",IF(AE357="A","Média",IF(AE357="H","Alta","-")))),
      IF('Dados da OS'!$D$8=Parâmetros!$B$4,
         IF(OR(V357="ALI",V357="AIE"),"Baixa",IF(OR(V357="EE",V357="SE",V357="CE"),"Média","-")),
         IF(OR('Dados da OS'!$D$8=Parâmetros!$B$5,'Dados da OS'!$D$8=Parâmetros!$B$6),"-"))))</f>
        <v>-</v>
      </c>
      <c r="AI357" s="83" t="str">
        <f xml:space="preserve">
IF(OR(ISBLANK(V357),ISBLANK(U357),ISBLANK(W357),V357="N/A",ISBLANK('Dados da OS'!$D$8)),"",
   IF(OR('Dados da OS'!$D$8=Parâmetros!$B$3,'Dados da OS'!$D$8=Parâmetros!$B$4),
      IF(OR(AND(V357="INM",AG357&lt;&gt;"VF"),AND(AG357="VF",V357&lt;&gt;"INM")),"",
        IF(AND(V357="INM",AG357="VF"),IF(ISBLANK(AB357),"",AF357*AB357),
        IF('Dados da OS'!$D$8=Parâmetros!$B$4,
           IF(OR(V357="CE",V357="EE"),4,IF(V357="SE",5,IF(V357="ALI",7,IF(V357="AIE",5,"")))),
        IF('Dados da OS'!$D$8=Parâmetros!$B$3,
           IF(OR(ISBLANK(X357),ISBLANK(Z357)),"",
              IF(V357="ALI",IF(AE357="L",7,IF(AE357="A",10,15)),
                 IF(V357="AIE",IF(AE357="L",5,IF(AE357="A",7,10)),
                    IF(V357="SE",IF(AE357="L",4,IF(AE357="A",5,7)),
                       IF(OR(V357="EE",V357="CE"),IF(AE357="L",3,IF(AE357="A",4,6)),""))))))))),
   IF('Dados da OS'!$D$8=Parâmetros!$B$5,
      IF(OR(AND(V357="INM",AG357&lt;&gt;"VF"),AND(AG357="VF",V357&lt;&gt;"INM")),"",
         IF(V357="INM",IF(AG357="VF",AF357*AB357,""),
            IF(V357="PE",4.6,
            IF(V357="AL",7,"")))),
   IF('Dados da OS'!$D$8=Parâmetros!$B$6,
      IF(V357="ALI",35,IF(V357="AIE",15,"")),""))
    )
)</f>
        <v/>
      </c>
      <c r="AJ357" s="82" t="str">
        <f t="shared" si="40"/>
        <v/>
      </c>
      <c r="AK357" s="84"/>
      <c r="AL357" s="85" t="s">
        <v>21</v>
      </c>
      <c r="AM357" s="86"/>
      <c r="AN357" s="85"/>
      <c r="AO357" s="87"/>
      <c r="AP357" s="85"/>
      <c r="AQ357" s="86"/>
      <c r="AR357" s="85"/>
    </row>
    <row r="358" spans="1:44" ht="15.75" customHeight="1">
      <c r="A358" s="54"/>
      <c r="B358" s="100"/>
      <c r="C358" s="55"/>
      <c r="D358" s="55"/>
      <c r="E358" s="56"/>
      <c r="F358" s="55"/>
      <c r="G358" s="56"/>
      <c r="H358" s="55"/>
      <c r="I358" s="64"/>
      <c r="J358" s="57" t="str">
        <f t="shared" si="35"/>
        <v/>
      </c>
      <c r="K358" s="57" t="str">
        <f t="shared" si="36"/>
        <v/>
      </c>
      <c r="L358" s="57" t="str">
        <f xml:space="preserve">
IF(OR('Dados da OS'!$D$8=Parâmetros!$B$3,'Dados da OS'!$D$8=Parâmetros!$B$4),
  IF(OR(ISBLANK(D358),ISBLANK(F358)),
     IF(OR(B358="ALI",B358="AIE"),"L",IF(ISBLANK(B358),"","A")),
     IF(B358="EE",IF(F358&gt;=3,IF(D358&gt;=5,"H","A"),
     IF(F358&gt;=2,IF(D358&gt;=16,"H",IF(D358&lt;=4,"L","A")),IF(D358&lt;=15,"L","A"))),
     IF(OR(B358="SE",B358="CE"),IF(F358&gt;=4,IF(D358&gt;=6,"H","A"),IF(F358&gt;=2,IF(D358&gt;=20,"H",IF(D358&lt;=5,"L","A")),IF(D358&lt;=19,"L","A"))),
     IF(OR(B358="ALI",B358="AIE"),IF(F358&gt;=6,IF(D358&gt;=20,"H","A"),IF(F358&gt;=2,IF(D358&gt;=51,"H",IF(D358&lt;=19,"L","A")),IF(D358&lt;=50,"L","A"))))))),
IF('Dados da OS'!$D$8=Parâmetros!$B$6,"Indicativa",
IF('Dados da OS'!$D$8=Parâmetros!$B$5,"PFS","")))</f>
        <v/>
      </c>
      <c r="M358" s="57">
        <f>IFERROR(VLOOKUP(C358,'Fatores de Impacto e INMs'!$A$3:$D$32,3,0),1)</f>
        <v>1</v>
      </c>
      <c r="N358" s="57">
        <f>IFERROR(VLOOKUP(C358,'Fatores de Impacto e INMs'!$A$3:$E$32,5,0),1)</f>
        <v>1</v>
      </c>
      <c r="O358" s="63" t="str">
        <f xml:space="preserve">
IF(OR('Dados da OS'!$D$8="Selecione o tipo da contagem",ISBLANK('Dados da OS'!$D$8),B358="INM",B358="N/A",ISBLANK(B358),ISBLANK(C358),N358="VF"),"-",
   IF('Dados da OS'!$D$8=Parâmetros!$B$3,
      IF(OR(ISBLANK(D358),ISBLANK(F358)),"-",
         IF(L358="L","Baixa",IF(L358="A","Média",IF(L358="H","Alta","-")))),
      IF('Dados da OS'!$D$8=Parâmetros!$B$4,
         IF(OR(B358="ALI",B358="AIE"),"Baixa",IF(OR(B358="EE",B358="SE",B358="CE"),"Média","-")),
         IF(OR('Dados da OS'!$D$8=Parâmetros!$B$5,'Dados da OS'!$D$8=Parâmetros!$B$6),"-"))))</f>
        <v>-</v>
      </c>
      <c r="P358" s="59" t="str">
        <f xml:space="preserve">
IF(OR(ISBLANK(B358),ISBLANK(C358),B358="N/A",ISBLANK('Dados da OS'!$D$8)),"",
   IF(OR('Dados da OS'!$D$8=Parâmetros!$B$3,'Dados da OS'!$D$8=Parâmetros!$B$4),
      IF(OR(AND(B358="INM",N358&lt;&gt;"VF"),AND(N358="VF",B358&lt;&gt;"INM")),"",
        IF(AND(B358="INM",N358="VF"),IF(ISBLANK(H358),"",M358*H358),
        IF('Dados da OS'!$D$8=Parâmetros!$B$4,
           IF(OR(B358="CE",B358="EE"),4,IF(B358="SE",5,IF(B358="ALI",7,IF(B358="AIE",5,"")))),
        IF('Dados da OS'!$D$8=Parâmetros!$B$3,
           IF(OR(ISBLANK(D358),ISBLANK(F358)),"",
              IF(B358="ALI",IF(L358="L",7,IF(L358="A",10,15)),
                 IF(B358="AIE",IF(L358="L",5,IF(L358="A",7,10)),
                    IF(B358="SE",IF(L358="L",4,IF(L358="A",5,7)),
                       IF(OR(B358="EE",B358="CE"),IF(L358="L",3,IF(L358="A",4,6)),""))))))))),
   IF('Dados da OS'!$D$8=Parâmetros!$B$5,
      IF(OR(AND(B358="INM",N358&lt;&gt;"VF"),AND(N358="VF",B358&lt;&gt;"INM")),"",
         IF(B358="INM",IF(N358="VF",M358*H358,""),
            IF(B358="PE",4.6,
            IF(B358="AL",7,"")))),
   IF('Dados da OS'!$D$8=Parâmetros!$B$6,
      IF(B358="ALI",35,IF(B358="AIE",15,"")),""))
    )
)</f>
        <v/>
      </c>
      <c r="Q358" s="60" t="str">
        <f t="shared" si="37"/>
        <v/>
      </c>
      <c r="R358" s="61"/>
      <c r="S358" s="62"/>
      <c r="T358" s="80" t="s">
        <v>21</v>
      </c>
      <c r="U358" s="81"/>
      <c r="V358" s="99"/>
      <c r="W358" s="55"/>
      <c r="X358" s="55"/>
      <c r="Y358" s="56"/>
      <c r="Z358" s="55"/>
      <c r="AA358" s="56"/>
      <c r="AB358" s="55"/>
      <c r="AC358" s="57" t="str">
        <f t="shared" si="38"/>
        <v/>
      </c>
      <c r="AD358" s="57" t="str">
        <f t="shared" si="39"/>
        <v/>
      </c>
      <c r="AE358" s="57" t="str">
        <f xml:space="preserve">
IF(OR('Dados da OS'!$D$8=Parâmetros!$B$3,'Dados da OS'!$D$8=Parâmetros!$B$4),
  IF(OR(ISBLANK(X358),ISBLANK(Z358)),
     IF(OR(V358="ALI",V358="AIE"),"L",IF(ISBLANK(V358),"","A")),
     IF(V358="EE",IF(Z358&gt;=3,IF(X358&gt;=5,"H","A"),
     IF(Z358&gt;=2,IF(X358&gt;=16,"H",IF(X358&lt;=4,"L","A")),IF(X358&lt;=15,"L","A"))),
     IF(OR(V358="SE",V358="CE"),IF(Z358&gt;=4,IF(X358&gt;=6,"H","A"),IF(Z358&gt;=2,IF(X358&gt;=20,"H",IF(X358&lt;=5,"L","A")),IF(X358&lt;=19,"L","A"))),
     IF(OR(V358="ALI",V358="AIE"),IF(Z358&gt;=6,IF(X358&gt;=20,"H","A"),IF(Z358&gt;=2,IF(X358&gt;=51,"H",IF(X358&lt;=19,"L","A")),IF(X358&lt;=50,"L","A"))))))),
IF('Dados da OS'!$D$8=Parâmetros!$B$6,"Indicativa",
IF('Dados da OS'!$D$8=Parâmetros!$B$5,"PFS","")))</f>
        <v/>
      </c>
      <c r="AF358" s="57">
        <f>IFERROR(VLOOKUP(W358,'Fatores de Impacto e INMs'!$A$3:$D$32,3,0),1)</f>
        <v>1</v>
      </c>
      <c r="AG358" s="57">
        <f>IFERROR(VLOOKUP(W358,'Fatores de Impacto e INMs'!$A$3:$E$32,5,0),1)</f>
        <v>1</v>
      </c>
      <c r="AH358" s="82" t="str">
        <f xml:space="preserve">
IF(OR('Dados da OS'!$D$8="Selecione o tipo da contagem",ISBLANK('Dados da OS'!$D$8),V358="INM",V358="N/A",ISBLANK(V358),ISBLANK(W358),AG358="VF"),"-",
   IF('Dados da OS'!$D$8=Parâmetros!$B$3,
      IF(OR(ISBLANK(X358),ISBLANK(Z358)),"-",
         IF(AE358="L","Baixa",IF(AE358="A","Média",IF(AE358="H","Alta","-")))),
      IF('Dados da OS'!$D$8=Parâmetros!$B$4,
         IF(OR(V358="ALI",V358="AIE"),"Baixa",IF(OR(V358="EE",V358="SE",V358="CE"),"Média","-")),
         IF(OR('Dados da OS'!$D$8=Parâmetros!$B$5,'Dados da OS'!$D$8=Parâmetros!$B$6),"-"))))</f>
        <v>-</v>
      </c>
      <c r="AI358" s="83" t="str">
        <f xml:space="preserve">
IF(OR(ISBLANK(V358),ISBLANK(U358),ISBLANK(W358),V358="N/A",ISBLANK('Dados da OS'!$D$8)),"",
   IF(OR('Dados da OS'!$D$8=Parâmetros!$B$3,'Dados da OS'!$D$8=Parâmetros!$B$4),
      IF(OR(AND(V358="INM",AG358&lt;&gt;"VF"),AND(AG358="VF",V358&lt;&gt;"INM")),"",
        IF(AND(V358="INM",AG358="VF"),IF(ISBLANK(AB358),"",AF358*AB358),
        IF('Dados da OS'!$D$8=Parâmetros!$B$4,
           IF(OR(V358="CE",V358="EE"),4,IF(V358="SE",5,IF(V358="ALI",7,IF(V358="AIE",5,"")))),
        IF('Dados da OS'!$D$8=Parâmetros!$B$3,
           IF(OR(ISBLANK(X358),ISBLANK(Z358)),"",
              IF(V358="ALI",IF(AE358="L",7,IF(AE358="A",10,15)),
                 IF(V358="AIE",IF(AE358="L",5,IF(AE358="A",7,10)),
                    IF(V358="SE",IF(AE358="L",4,IF(AE358="A",5,7)),
                       IF(OR(V358="EE",V358="CE"),IF(AE358="L",3,IF(AE358="A",4,6)),""))))))))),
   IF('Dados da OS'!$D$8=Parâmetros!$B$5,
      IF(OR(AND(V358="INM",AG358&lt;&gt;"VF"),AND(AG358="VF",V358&lt;&gt;"INM")),"",
         IF(V358="INM",IF(AG358="VF",AF358*AB358,""),
            IF(V358="PE",4.6,
            IF(V358="AL",7,"")))),
   IF('Dados da OS'!$D$8=Parâmetros!$B$6,
      IF(V358="ALI",35,IF(V358="AIE",15,"")),""))
    )
)</f>
        <v/>
      </c>
      <c r="AJ358" s="82" t="str">
        <f t="shared" si="40"/>
        <v/>
      </c>
      <c r="AK358" s="84"/>
      <c r="AL358" s="85" t="s">
        <v>21</v>
      </c>
      <c r="AM358" s="86"/>
      <c r="AN358" s="85"/>
      <c r="AO358" s="87"/>
      <c r="AP358" s="85"/>
      <c r="AQ358" s="86"/>
      <c r="AR358" s="85"/>
    </row>
    <row r="359" spans="1:44" ht="15.75" customHeight="1">
      <c r="A359" s="54"/>
      <c r="B359" s="100"/>
      <c r="C359" s="55"/>
      <c r="D359" s="55"/>
      <c r="E359" s="56"/>
      <c r="F359" s="55"/>
      <c r="G359" s="56"/>
      <c r="H359" s="55"/>
      <c r="I359" s="64"/>
      <c r="J359" s="57" t="str">
        <f t="shared" si="35"/>
        <v/>
      </c>
      <c r="K359" s="57" t="str">
        <f t="shared" si="36"/>
        <v/>
      </c>
      <c r="L359" s="57" t="str">
        <f xml:space="preserve">
IF(OR('Dados da OS'!$D$8=Parâmetros!$B$3,'Dados da OS'!$D$8=Parâmetros!$B$4),
  IF(OR(ISBLANK(D359),ISBLANK(F359)),
     IF(OR(B359="ALI",B359="AIE"),"L",IF(ISBLANK(B359),"","A")),
     IF(B359="EE",IF(F359&gt;=3,IF(D359&gt;=5,"H","A"),
     IF(F359&gt;=2,IF(D359&gt;=16,"H",IF(D359&lt;=4,"L","A")),IF(D359&lt;=15,"L","A"))),
     IF(OR(B359="SE",B359="CE"),IF(F359&gt;=4,IF(D359&gt;=6,"H","A"),IF(F359&gt;=2,IF(D359&gt;=20,"H",IF(D359&lt;=5,"L","A")),IF(D359&lt;=19,"L","A"))),
     IF(OR(B359="ALI",B359="AIE"),IF(F359&gt;=6,IF(D359&gt;=20,"H","A"),IF(F359&gt;=2,IF(D359&gt;=51,"H",IF(D359&lt;=19,"L","A")),IF(D359&lt;=50,"L","A"))))))),
IF('Dados da OS'!$D$8=Parâmetros!$B$6,"Indicativa",
IF('Dados da OS'!$D$8=Parâmetros!$B$5,"PFS","")))</f>
        <v/>
      </c>
      <c r="M359" s="57">
        <f>IFERROR(VLOOKUP(C359,'Fatores de Impacto e INMs'!$A$3:$D$32,3,0),1)</f>
        <v>1</v>
      </c>
      <c r="N359" s="57">
        <f>IFERROR(VLOOKUP(C359,'Fatores de Impacto e INMs'!$A$3:$E$32,5,0),1)</f>
        <v>1</v>
      </c>
      <c r="O359" s="63" t="str">
        <f xml:space="preserve">
IF(OR('Dados da OS'!$D$8="Selecione o tipo da contagem",ISBLANK('Dados da OS'!$D$8),B359="INM",B359="N/A",ISBLANK(B359),ISBLANK(C359),N359="VF"),"-",
   IF('Dados da OS'!$D$8=Parâmetros!$B$3,
      IF(OR(ISBLANK(D359),ISBLANK(F359)),"-",
         IF(L359="L","Baixa",IF(L359="A","Média",IF(L359="H","Alta","-")))),
      IF('Dados da OS'!$D$8=Parâmetros!$B$4,
         IF(OR(B359="ALI",B359="AIE"),"Baixa",IF(OR(B359="EE",B359="SE",B359="CE"),"Média","-")),
         IF(OR('Dados da OS'!$D$8=Parâmetros!$B$5,'Dados da OS'!$D$8=Parâmetros!$B$6),"-"))))</f>
        <v>-</v>
      </c>
      <c r="P359" s="59" t="str">
        <f xml:space="preserve">
IF(OR(ISBLANK(B359),ISBLANK(C359),B359="N/A",ISBLANK('Dados da OS'!$D$8)),"",
   IF(OR('Dados da OS'!$D$8=Parâmetros!$B$3,'Dados da OS'!$D$8=Parâmetros!$B$4),
      IF(OR(AND(B359="INM",N359&lt;&gt;"VF"),AND(N359="VF",B359&lt;&gt;"INM")),"",
        IF(AND(B359="INM",N359="VF"),IF(ISBLANK(H359),"",M359*H359),
        IF('Dados da OS'!$D$8=Parâmetros!$B$4,
           IF(OR(B359="CE",B359="EE"),4,IF(B359="SE",5,IF(B359="ALI",7,IF(B359="AIE",5,"")))),
        IF('Dados da OS'!$D$8=Parâmetros!$B$3,
           IF(OR(ISBLANK(D359),ISBLANK(F359)),"",
              IF(B359="ALI",IF(L359="L",7,IF(L359="A",10,15)),
                 IF(B359="AIE",IF(L359="L",5,IF(L359="A",7,10)),
                    IF(B359="SE",IF(L359="L",4,IF(L359="A",5,7)),
                       IF(OR(B359="EE",B359="CE"),IF(L359="L",3,IF(L359="A",4,6)),""))))))))),
   IF('Dados da OS'!$D$8=Parâmetros!$B$5,
      IF(OR(AND(B359="INM",N359&lt;&gt;"VF"),AND(N359="VF",B359&lt;&gt;"INM")),"",
         IF(B359="INM",IF(N359="VF",M359*H359,""),
            IF(B359="PE",4.6,
            IF(B359="AL",7,"")))),
   IF('Dados da OS'!$D$8=Parâmetros!$B$6,
      IF(B359="ALI",35,IF(B359="AIE",15,"")),""))
    )
)</f>
        <v/>
      </c>
      <c r="Q359" s="60" t="str">
        <f t="shared" si="37"/>
        <v/>
      </c>
      <c r="R359" s="61"/>
      <c r="S359" s="62"/>
      <c r="T359" s="80" t="s">
        <v>21</v>
      </c>
      <c r="U359" s="81"/>
      <c r="V359" s="99"/>
      <c r="W359" s="55"/>
      <c r="X359" s="55"/>
      <c r="Y359" s="56"/>
      <c r="Z359" s="55"/>
      <c r="AA359" s="56"/>
      <c r="AB359" s="55"/>
      <c r="AC359" s="57" t="str">
        <f t="shared" si="38"/>
        <v/>
      </c>
      <c r="AD359" s="57" t="str">
        <f t="shared" si="39"/>
        <v/>
      </c>
      <c r="AE359" s="57" t="str">
        <f xml:space="preserve">
IF(OR('Dados da OS'!$D$8=Parâmetros!$B$3,'Dados da OS'!$D$8=Parâmetros!$B$4),
  IF(OR(ISBLANK(X359),ISBLANK(Z359)),
     IF(OR(V359="ALI",V359="AIE"),"L",IF(ISBLANK(V359),"","A")),
     IF(V359="EE",IF(Z359&gt;=3,IF(X359&gt;=5,"H","A"),
     IF(Z359&gt;=2,IF(X359&gt;=16,"H",IF(X359&lt;=4,"L","A")),IF(X359&lt;=15,"L","A"))),
     IF(OR(V359="SE",V359="CE"),IF(Z359&gt;=4,IF(X359&gt;=6,"H","A"),IF(Z359&gt;=2,IF(X359&gt;=20,"H",IF(X359&lt;=5,"L","A")),IF(X359&lt;=19,"L","A"))),
     IF(OR(V359="ALI",V359="AIE"),IF(Z359&gt;=6,IF(X359&gt;=20,"H","A"),IF(Z359&gt;=2,IF(X359&gt;=51,"H",IF(X359&lt;=19,"L","A")),IF(X359&lt;=50,"L","A"))))))),
IF('Dados da OS'!$D$8=Parâmetros!$B$6,"Indicativa",
IF('Dados da OS'!$D$8=Parâmetros!$B$5,"PFS","")))</f>
        <v/>
      </c>
      <c r="AF359" s="57">
        <f>IFERROR(VLOOKUP(W359,'Fatores de Impacto e INMs'!$A$3:$D$32,3,0),1)</f>
        <v>1</v>
      </c>
      <c r="AG359" s="57">
        <f>IFERROR(VLOOKUP(W359,'Fatores de Impacto e INMs'!$A$3:$E$32,5,0),1)</f>
        <v>1</v>
      </c>
      <c r="AH359" s="82" t="str">
        <f xml:space="preserve">
IF(OR('Dados da OS'!$D$8="Selecione o tipo da contagem",ISBLANK('Dados da OS'!$D$8),V359="INM",V359="N/A",ISBLANK(V359),ISBLANK(W359),AG359="VF"),"-",
   IF('Dados da OS'!$D$8=Parâmetros!$B$3,
      IF(OR(ISBLANK(X359),ISBLANK(Z359)),"-",
         IF(AE359="L","Baixa",IF(AE359="A","Média",IF(AE359="H","Alta","-")))),
      IF('Dados da OS'!$D$8=Parâmetros!$B$4,
         IF(OR(V359="ALI",V359="AIE"),"Baixa",IF(OR(V359="EE",V359="SE",V359="CE"),"Média","-")),
         IF(OR('Dados da OS'!$D$8=Parâmetros!$B$5,'Dados da OS'!$D$8=Parâmetros!$B$6),"-"))))</f>
        <v>-</v>
      </c>
      <c r="AI359" s="83" t="str">
        <f xml:space="preserve">
IF(OR(ISBLANK(V359),ISBLANK(U359),ISBLANK(W359),V359="N/A",ISBLANK('Dados da OS'!$D$8)),"",
   IF(OR('Dados da OS'!$D$8=Parâmetros!$B$3,'Dados da OS'!$D$8=Parâmetros!$B$4),
      IF(OR(AND(V359="INM",AG359&lt;&gt;"VF"),AND(AG359="VF",V359&lt;&gt;"INM")),"",
        IF(AND(V359="INM",AG359="VF"),IF(ISBLANK(AB359),"",AF359*AB359),
        IF('Dados da OS'!$D$8=Parâmetros!$B$4,
           IF(OR(V359="CE",V359="EE"),4,IF(V359="SE",5,IF(V359="ALI",7,IF(V359="AIE",5,"")))),
        IF('Dados da OS'!$D$8=Parâmetros!$B$3,
           IF(OR(ISBLANK(X359),ISBLANK(Z359)),"",
              IF(V359="ALI",IF(AE359="L",7,IF(AE359="A",10,15)),
                 IF(V359="AIE",IF(AE359="L",5,IF(AE359="A",7,10)),
                    IF(V359="SE",IF(AE359="L",4,IF(AE359="A",5,7)),
                       IF(OR(V359="EE",V359="CE"),IF(AE359="L",3,IF(AE359="A",4,6)),""))))))))),
   IF('Dados da OS'!$D$8=Parâmetros!$B$5,
      IF(OR(AND(V359="INM",AG359&lt;&gt;"VF"),AND(AG359="VF",V359&lt;&gt;"INM")),"",
         IF(V359="INM",IF(AG359="VF",AF359*AB359,""),
            IF(V359="PE",4.6,
            IF(V359="AL",7,"")))),
   IF('Dados da OS'!$D$8=Parâmetros!$B$6,
      IF(V359="ALI",35,IF(V359="AIE",15,"")),""))
    )
)</f>
        <v/>
      </c>
      <c r="AJ359" s="82" t="str">
        <f t="shared" si="40"/>
        <v/>
      </c>
      <c r="AK359" s="84"/>
      <c r="AL359" s="85" t="s">
        <v>21</v>
      </c>
      <c r="AM359" s="86"/>
      <c r="AN359" s="85"/>
      <c r="AO359" s="87"/>
      <c r="AP359" s="85"/>
      <c r="AQ359" s="86"/>
      <c r="AR359" s="85"/>
    </row>
    <row r="360" spans="1:44" ht="15.75" customHeight="1">
      <c r="A360" s="54"/>
      <c r="B360" s="100"/>
      <c r="C360" s="55"/>
      <c r="D360" s="55"/>
      <c r="E360" s="56"/>
      <c r="F360" s="55"/>
      <c r="G360" s="56"/>
      <c r="H360" s="55"/>
      <c r="I360" s="64"/>
      <c r="J360" s="57" t="str">
        <f t="shared" si="35"/>
        <v/>
      </c>
      <c r="K360" s="57" t="str">
        <f t="shared" si="36"/>
        <v/>
      </c>
      <c r="L360" s="57" t="str">
        <f xml:space="preserve">
IF(OR('Dados da OS'!$D$8=Parâmetros!$B$3,'Dados da OS'!$D$8=Parâmetros!$B$4),
  IF(OR(ISBLANK(D360),ISBLANK(F360)),
     IF(OR(B360="ALI",B360="AIE"),"L",IF(ISBLANK(B360),"","A")),
     IF(B360="EE",IF(F360&gt;=3,IF(D360&gt;=5,"H","A"),
     IF(F360&gt;=2,IF(D360&gt;=16,"H",IF(D360&lt;=4,"L","A")),IF(D360&lt;=15,"L","A"))),
     IF(OR(B360="SE",B360="CE"),IF(F360&gt;=4,IF(D360&gt;=6,"H","A"),IF(F360&gt;=2,IF(D360&gt;=20,"H",IF(D360&lt;=5,"L","A")),IF(D360&lt;=19,"L","A"))),
     IF(OR(B360="ALI",B360="AIE"),IF(F360&gt;=6,IF(D360&gt;=20,"H","A"),IF(F360&gt;=2,IF(D360&gt;=51,"H",IF(D360&lt;=19,"L","A")),IF(D360&lt;=50,"L","A"))))))),
IF('Dados da OS'!$D$8=Parâmetros!$B$6,"Indicativa",
IF('Dados da OS'!$D$8=Parâmetros!$B$5,"PFS","")))</f>
        <v/>
      </c>
      <c r="M360" s="57">
        <f>IFERROR(VLOOKUP(C360,'Fatores de Impacto e INMs'!$A$3:$D$32,3,0),1)</f>
        <v>1</v>
      </c>
      <c r="N360" s="57">
        <f>IFERROR(VLOOKUP(C360,'Fatores de Impacto e INMs'!$A$3:$E$32,5,0),1)</f>
        <v>1</v>
      </c>
      <c r="O360" s="63" t="str">
        <f xml:space="preserve">
IF(OR('Dados da OS'!$D$8="Selecione o tipo da contagem",ISBLANK('Dados da OS'!$D$8),B360="INM",B360="N/A",ISBLANK(B360),ISBLANK(C360),N360="VF"),"-",
   IF('Dados da OS'!$D$8=Parâmetros!$B$3,
      IF(OR(ISBLANK(D360),ISBLANK(F360)),"-",
         IF(L360="L","Baixa",IF(L360="A","Média",IF(L360="H","Alta","-")))),
      IF('Dados da OS'!$D$8=Parâmetros!$B$4,
         IF(OR(B360="ALI",B360="AIE"),"Baixa",IF(OR(B360="EE",B360="SE",B360="CE"),"Média","-")),
         IF(OR('Dados da OS'!$D$8=Parâmetros!$B$5,'Dados da OS'!$D$8=Parâmetros!$B$6),"-"))))</f>
        <v>-</v>
      </c>
      <c r="P360" s="59" t="str">
        <f xml:space="preserve">
IF(OR(ISBLANK(B360),ISBLANK(C360),B360="N/A",ISBLANK('Dados da OS'!$D$8)),"",
   IF(OR('Dados da OS'!$D$8=Parâmetros!$B$3,'Dados da OS'!$D$8=Parâmetros!$B$4),
      IF(OR(AND(B360="INM",N360&lt;&gt;"VF"),AND(N360="VF",B360&lt;&gt;"INM")),"",
        IF(AND(B360="INM",N360="VF"),IF(ISBLANK(H360),"",M360*H360),
        IF('Dados da OS'!$D$8=Parâmetros!$B$4,
           IF(OR(B360="CE",B360="EE"),4,IF(B360="SE",5,IF(B360="ALI",7,IF(B360="AIE",5,"")))),
        IF('Dados da OS'!$D$8=Parâmetros!$B$3,
           IF(OR(ISBLANK(D360),ISBLANK(F360)),"",
              IF(B360="ALI",IF(L360="L",7,IF(L360="A",10,15)),
                 IF(B360="AIE",IF(L360="L",5,IF(L360="A",7,10)),
                    IF(B360="SE",IF(L360="L",4,IF(L360="A",5,7)),
                       IF(OR(B360="EE",B360="CE"),IF(L360="L",3,IF(L360="A",4,6)),""))))))))),
   IF('Dados da OS'!$D$8=Parâmetros!$B$5,
      IF(OR(AND(B360="INM",N360&lt;&gt;"VF"),AND(N360="VF",B360&lt;&gt;"INM")),"",
         IF(B360="INM",IF(N360="VF",M360*H360,""),
            IF(B360="PE",4.6,
            IF(B360="AL",7,"")))),
   IF('Dados da OS'!$D$8=Parâmetros!$B$6,
      IF(B360="ALI",35,IF(B360="AIE",15,"")),""))
    )
)</f>
        <v/>
      </c>
      <c r="Q360" s="60" t="str">
        <f t="shared" si="37"/>
        <v/>
      </c>
      <c r="R360" s="61"/>
      <c r="S360" s="62"/>
      <c r="T360" s="80" t="s">
        <v>21</v>
      </c>
      <c r="U360" s="81"/>
      <c r="V360" s="99"/>
      <c r="W360" s="55"/>
      <c r="X360" s="55"/>
      <c r="Y360" s="56"/>
      <c r="Z360" s="55"/>
      <c r="AA360" s="56"/>
      <c r="AB360" s="55"/>
      <c r="AC360" s="57" t="str">
        <f t="shared" si="38"/>
        <v/>
      </c>
      <c r="AD360" s="57" t="str">
        <f t="shared" si="39"/>
        <v/>
      </c>
      <c r="AE360" s="57" t="str">
        <f xml:space="preserve">
IF(OR('Dados da OS'!$D$8=Parâmetros!$B$3,'Dados da OS'!$D$8=Parâmetros!$B$4),
  IF(OR(ISBLANK(X360),ISBLANK(Z360)),
     IF(OR(V360="ALI",V360="AIE"),"L",IF(ISBLANK(V360),"","A")),
     IF(V360="EE",IF(Z360&gt;=3,IF(X360&gt;=5,"H","A"),
     IF(Z360&gt;=2,IF(X360&gt;=16,"H",IF(X360&lt;=4,"L","A")),IF(X360&lt;=15,"L","A"))),
     IF(OR(V360="SE",V360="CE"),IF(Z360&gt;=4,IF(X360&gt;=6,"H","A"),IF(Z360&gt;=2,IF(X360&gt;=20,"H",IF(X360&lt;=5,"L","A")),IF(X360&lt;=19,"L","A"))),
     IF(OR(V360="ALI",V360="AIE"),IF(Z360&gt;=6,IF(X360&gt;=20,"H","A"),IF(Z360&gt;=2,IF(X360&gt;=51,"H",IF(X360&lt;=19,"L","A")),IF(X360&lt;=50,"L","A"))))))),
IF('Dados da OS'!$D$8=Parâmetros!$B$6,"Indicativa",
IF('Dados da OS'!$D$8=Parâmetros!$B$5,"PFS","")))</f>
        <v/>
      </c>
      <c r="AF360" s="57">
        <f>IFERROR(VLOOKUP(W360,'Fatores de Impacto e INMs'!$A$3:$D$32,3,0),1)</f>
        <v>1</v>
      </c>
      <c r="AG360" s="57">
        <f>IFERROR(VLOOKUP(W360,'Fatores de Impacto e INMs'!$A$3:$E$32,5,0),1)</f>
        <v>1</v>
      </c>
      <c r="AH360" s="82" t="str">
        <f xml:space="preserve">
IF(OR('Dados da OS'!$D$8="Selecione o tipo da contagem",ISBLANK('Dados da OS'!$D$8),V360="INM",V360="N/A",ISBLANK(V360),ISBLANK(W360),AG360="VF"),"-",
   IF('Dados da OS'!$D$8=Parâmetros!$B$3,
      IF(OR(ISBLANK(X360),ISBLANK(Z360)),"-",
         IF(AE360="L","Baixa",IF(AE360="A","Média",IF(AE360="H","Alta","-")))),
      IF('Dados da OS'!$D$8=Parâmetros!$B$4,
         IF(OR(V360="ALI",V360="AIE"),"Baixa",IF(OR(V360="EE",V360="SE",V360="CE"),"Média","-")),
         IF(OR('Dados da OS'!$D$8=Parâmetros!$B$5,'Dados da OS'!$D$8=Parâmetros!$B$6),"-"))))</f>
        <v>-</v>
      </c>
      <c r="AI360" s="83" t="str">
        <f xml:space="preserve">
IF(OR(ISBLANK(V360),ISBLANK(U360),ISBLANK(W360),V360="N/A",ISBLANK('Dados da OS'!$D$8)),"",
   IF(OR('Dados da OS'!$D$8=Parâmetros!$B$3,'Dados da OS'!$D$8=Parâmetros!$B$4),
      IF(OR(AND(V360="INM",AG360&lt;&gt;"VF"),AND(AG360="VF",V360&lt;&gt;"INM")),"",
        IF(AND(V360="INM",AG360="VF"),IF(ISBLANK(AB360),"",AF360*AB360),
        IF('Dados da OS'!$D$8=Parâmetros!$B$4,
           IF(OR(V360="CE",V360="EE"),4,IF(V360="SE",5,IF(V360="ALI",7,IF(V360="AIE",5,"")))),
        IF('Dados da OS'!$D$8=Parâmetros!$B$3,
           IF(OR(ISBLANK(X360),ISBLANK(Z360)),"",
              IF(V360="ALI",IF(AE360="L",7,IF(AE360="A",10,15)),
                 IF(V360="AIE",IF(AE360="L",5,IF(AE360="A",7,10)),
                    IF(V360="SE",IF(AE360="L",4,IF(AE360="A",5,7)),
                       IF(OR(V360="EE",V360="CE"),IF(AE360="L",3,IF(AE360="A",4,6)),""))))))))),
   IF('Dados da OS'!$D$8=Parâmetros!$B$5,
      IF(OR(AND(V360="INM",AG360&lt;&gt;"VF"),AND(AG360="VF",V360&lt;&gt;"INM")),"",
         IF(V360="INM",IF(AG360="VF",AF360*AB360,""),
            IF(V360="PE",4.6,
            IF(V360="AL",7,"")))),
   IF('Dados da OS'!$D$8=Parâmetros!$B$6,
      IF(V360="ALI",35,IF(V360="AIE",15,"")),""))
    )
)</f>
        <v/>
      </c>
      <c r="AJ360" s="82" t="str">
        <f t="shared" si="40"/>
        <v/>
      </c>
      <c r="AK360" s="84"/>
      <c r="AL360" s="85" t="s">
        <v>21</v>
      </c>
      <c r="AM360" s="86"/>
      <c r="AN360" s="85"/>
      <c r="AO360" s="87"/>
      <c r="AP360" s="85"/>
      <c r="AQ360" s="86"/>
      <c r="AR360" s="85"/>
    </row>
    <row r="361" spans="1:44" ht="15.75" customHeight="1">
      <c r="A361" s="54"/>
      <c r="B361" s="100"/>
      <c r="C361" s="55"/>
      <c r="D361" s="55"/>
      <c r="E361" s="56"/>
      <c r="F361" s="55"/>
      <c r="G361" s="56"/>
      <c r="H361" s="55"/>
      <c r="I361" s="64"/>
      <c r="J361" s="57" t="str">
        <f t="shared" si="35"/>
        <v/>
      </c>
      <c r="K361" s="57" t="str">
        <f t="shared" si="36"/>
        <v/>
      </c>
      <c r="L361" s="57" t="str">
        <f xml:space="preserve">
IF(OR('Dados da OS'!$D$8=Parâmetros!$B$3,'Dados da OS'!$D$8=Parâmetros!$B$4),
  IF(OR(ISBLANK(D361),ISBLANK(F361)),
     IF(OR(B361="ALI",B361="AIE"),"L",IF(ISBLANK(B361),"","A")),
     IF(B361="EE",IF(F361&gt;=3,IF(D361&gt;=5,"H","A"),
     IF(F361&gt;=2,IF(D361&gt;=16,"H",IF(D361&lt;=4,"L","A")),IF(D361&lt;=15,"L","A"))),
     IF(OR(B361="SE",B361="CE"),IF(F361&gt;=4,IF(D361&gt;=6,"H","A"),IF(F361&gt;=2,IF(D361&gt;=20,"H",IF(D361&lt;=5,"L","A")),IF(D361&lt;=19,"L","A"))),
     IF(OR(B361="ALI",B361="AIE"),IF(F361&gt;=6,IF(D361&gt;=20,"H","A"),IF(F361&gt;=2,IF(D361&gt;=51,"H",IF(D361&lt;=19,"L","A")),IF(D361&lt;=50,"L","A"))))))),
IF('Dados da OS'!$D$8=Parâmetros!$B$6,"Indicativa",
IF('Dados da OS'!$D$8=Parâmetros!$B$5,"PFS","")))</f>
        <v/>
      </c>
      <c r="M361" s="57">
        <f>IFERROR(VLOOKUP(C361,'Fatores de Impacto e INMs'!$A$3:$D$32,3,0),1)</f>
        <v>1</v>
      </c>
      <c r="N361" s="57">
        <f>IFERROR(VLOOKUP(C361,'Fatores de Impacto e INMs'!$A$3:$E$32,5,0),1)</f>
        <v>1</v>
      </c>
      <c r="O361" s="63" t="str">
        <f xml:space="preserve">
IF(OR('Dados da OS'!$D$8="Selecione o tipo da contagem",ISBLANK('Dados da OS'!$D$8),B361="INM",B361="N/A",ISBLANK(B361),ISBLANK(C361),N361="VF"),"-",
   IF('Dados da OS'!$D$8=Parâmetros!$B$3,
      IF(OR(ISBLANK(D361),ISBLANK(F361)),"-",
         IF(L361="L","Baixa",IF(L361="A","Média",IF(L361="H","Alta","-")))),
      IF('Dados da OS'!$D$8=Parâmetros!$B$4,
         IF(OR(B361="ALI",B361="AIE"),"Baixa",IF(OR(B361="EE",B361="SE",B361="CE"),"Média","-")),
         IF(OR('Dados da OS'!$D$8=Parâmetros!$B$5,'Dados da OS'!$D$8=Parâmetros!$B$6),"-"))))</f>
        <v>-</v>
      </c>
      <c r="P361" s="59" t="str">
        <f xml:space="preserve">
IF(OR(ISBLANK(B361),ISBLANK(C361),B361="N/A",ISBLANK('Dados da OS'!$D$8)),"",
   IF(OR('Dados da OS'!$D$8=Parâmetros!$B$3,'Dados da OS'!$D$8=Parâmetros!$B$4),
      IF(OR(AND(B361="INM",N361&lt;&gt;"VF"),AND(N361="VF",B361&lt;&gt;"INM")),"",
        IF(AND(B361="INM",N361="VF"),IF(ISBLANK(H361),"",M361*H361),
        IF('Dados da OS'!$D$8=Parâmetros!$B$4,
           IF(OR(B361="CE",B361="EE"),4,IF(B361="SE",5,IF(B361="ALI",7,IF(B361="AIE",5,"")))),
        IF('Dados da OS'!$D$8=Parâmetros!$B$3,
           IF(OR(ISBLANK(D361),ISBLANK(F361)),"",
              IF(B361="ALI",IF(L361="L",7,IF(L361="A",10,15)),
                 IF(B361="AIE",IF(L361="L",5,IF(L361="A",7,10)),
                    IF(B361="SE",IF(L361="L",4,IF(L361="A",5,7)),
                       IF(OR(B361="EE",B361="CE"),IF(L361="L",3,IF(L361="A",4,6)),""))))))))),
   IF('Dados da OS'!$D$8=Parâmetros!$B$5,
      IF(OR(AND(B361="INM",N361&lt;&gt;"VF"),AND(N361="VF",B361&lt;&gt;"INM")),"",
         IF(B361="INM",IF(N361="VF",M361*H361,""),
            IF(B361="PE",4.6,
            IF(B361="AL",7,"")))),
   IF('Dados da OS'!$D$8=Parâmetros!$B$6,
      IF(B361="ALI",35,IF(B361="AIE",15,"")),""))
    )
)</f>
        <v/>
      </c>
      <c r="Q361" s="60" t="str">
        <f t="shared" si="37"/>
        <v/>
      </c>
      <c r="R361" s="61"/>
      <c r="S361" s="62"/>
      <c r="T361" s="80" t="s">
        <v>21</v>
      </c>
      <c r="U361" s="81"/>
      <c r="V361" s="99"/>
      <c r="W361" s="55"/>
      <c r="X361" s="55"/>
      <c r="Y361" s="56"/>
      <c r="Z361" s="55"/>
      <c r="AA361" s="56"/>
      <c r="AB361" s="55"/>
      <c r="AC361" s="57" t="str">
        <f t="shared" si="38"/>
        <v/>
      </c>
      <c r="AD361" s="57" t="str">
        <f t="shared" si="39"/>
        <v/>
      </c>
      <c r="AE361" s="57" t="str">
        <f xml:space="preserve">
IF(OR('Dados da OS'!$D$8=Parâmetros!$B$3,'Dados da OS'!$D$8=Parâmetros!$B$4),
  IF(OR(ISBLANK(X361),ISBLANK(Z361)),
     IF(OR(V361="ALI",V361="AIE"),"L",IF(ISBLANK(V361),"","A")),
     IF(V361="EE",IF(Z361&gt;=3,IF(X361&gt;=5,"H","A"),
     IF(Z361&gt;=2,IF(X361&gt;=16,"H",IF(X361&lt;=4,"L","A")),IF(X361&lt;=15,"L","A"))),
     IF(OR(V361="SE",V361="CE"),IF(Z361&gt;=4,IF(X361&gt;=6,"H","A"),IF(Z361&gt;=2,IF(X361&gt;=20,"H",IF(X361&lt;=5,"L","A")),IF(X361&lt;=19,"L","A"))),
     IF(OR(V361="ALI",V361="AIE"),IF(Z361&gt;=6,IF(X361&gt;=20,"H","A"),IF(Z361&gt;=2,IF(X361&gt;=51,"H",IF(X361&lt;=19,"L","A")),IF(X361&lt;=50,"L","A"))))))),
IF('Dados da OS'!$D$8=Parâmetros!$B$6,"Indicativa",
IF('Dados da OS'!$D$8=Parâmetros!$B$5,"PFS","")))</f>
        <v/>
      </c>
      <c r="AF361" s="57">
        <f>IFERROR(VLOOKUP(W361,'Fatores de Impacto e INMs'!$A$3:$D$32,3,0),1)</f>
        <v>1</v>
      </c>
      <c r="AG361" s="57">
        <f>IFERROR(VLOOKUP(W361,'Fatores de Impacto e INMs'!$A$3:$E$32,5,0),1)</f>
        <v>1</v>
      </c>
      <c r="AH361" s="82" t="str">
        <f xml:space="preserve">
IF(OR('Dados da OS'!$D$8="Selecione o tipo da contagem",ISBLANK('Dados da OS'!$D$8),V361="INM",V361="N/A",ISBLANK(V361),ISBLANK(W361),AG361="VF"),"-",
   IF('Dados da OS'!$D$8=Parâmetros!$B$3,
      IF(OR(ISBLANK(X361),ISBLANK(Z361)),"-",
         IF(AE361="L","Baixa",IF(AE361="A","Média",IF(AE361="H","Alta","-")))),
      IF('Dados da OS'!$D$8=Parâmetros!$B$4,
         IF(OR(V361="ALI",V361="AIE"),"Baixa",IF(OR(V361="EE",V361="SE",V361="CE"),"Média","-")),
         IF(OR('Dados da OS'!$D$8=Parâmetros!$B$5,'Dados da OS'!$D$8=Parâmetros!$B$6),"-"))))</f>
        <v>-</v>
      </c>
      <c r="AI361" s="83" t="str">
        <f xml:space="preserve">
IF(OR(ISBLANK(V361),ISBLANK(U361),ISBLANK(W361),V361="N/A",ISBLANK('Dados da OS'!$D$8)),"",
   IF(OR('Dados da OS'!$D$8=Parâmetros!$B$3,'Dados da OS'!$D$8=Parâmetros!$B$4),
      IF(OR(AND(V361="INM",AG361&lt;&gt;"VF"),AND(AG361="VF",V361&lt;&gt;"INM")),"",
        IF(AND(V361="INM",AG361="VF"),IF(ISBLANK(AB361),"",AF361*AB361),
        IF('Dados da OS'!$D$8=Parâmetros!$B$4,
           IF(OR(V361="CE",V361="EE"),4,IF(V361="SE",5,IF(V361="ALI",7,IF(V361="AIE",5,"")))),
        IF('Dados da OS'!$D$8=Parâmetros!$B$3,
           IF(OR(ISBLANK(X361),ISBLANK(Z361)),"",
              IF(V361="ALI",IF(AE361="L",7,IF(AE361="A",10,15)),
                 IF(V361="AIE",IF(AE361="L",5,IF(AE361="A",7,10)),
                    IF(V361="SE",IF(AE361="L",4,IF(AE361="A",5,7)),
                       IF(OR(V361="EE",V361="CE"),IF(AE361="L",3,IF(AE361="A",4,6)),""))))))))),
   IF('Dados da OS'!$D$8=Parâmetros!$B$5,
      IF(OR(AND(V361="INM",AG361&lt;&gt;"VF"),AND(AG361="VF",V361&lt;&gt;"INM")),"",
         IF(V361="INM",IF(AG361="VF",AF361*AB361,""),
            IF(V361="PE",4.6,
            IF(V361="AL",7,"")))),
   IF('Dados da OS'!$D$8=Parâmetros!$B$6,
      IF(V361="ALI",35,IF(V361="AIE",15,"")),""))
    )
)</f>
        <v/>
      </c>
      <c r="AJ361" s="82" t="str">
        <f t="shared" si="40"/>
        <v/>
      </c>
      <c r="AK361" s="84"/>
      <c r="AL361" s="85" t="s">
        <v>21</v>
      </c>
      <c r="AM361" s="86"/>
      <c r="AN361" s="85"/>
      <c r="AO361" s="87"/>
      <c r="AP361" s="85"/>
      <c r="AQ361" s="86"/>
      <c r="AR361" s="85"/>
    </row>
    <row r="362" spans="1:44" ht="15.75" customHeight="1">
      <c r="A362" s="54"/>
      <c r="B362" s="100"/>
      <c r="C362" s="55"/>
      <c r="D362" s="55"/>
      <c r="E362" s="56"/>
      <c r="F362" s="55"/>
      <c r="G362" s="56"/>
      <c r="H362" s="55"/>
      <c r="I362" s="64"/>
      <c r="J362" s="57" t="str">
        <f t="shared" si="35"/>
        <v/>
      </c>
      <c r="K362" s="57" t="str">
        <f t="shared" si="36"/>
        <v/>
      </c>
      <c r="L362" s="57" t="str">
        <f xml:space="preserve">
IF(OR('Dados da OS'!$D$8=Parâmetros!$B$3,'Dados da OS'!$D$8=Parâmetros!$B$4),
  IF(OR(ISBLANK(D362),ISBLANK(F362)),
     IF(OR(B362="ALI",B362="AIE"),"L",IF(ISBLANK(B362),"","A")),
     IF(B362="EE",IF(F362&gt;=3,IF(D362&gt;=5,"H","A"),
     IF(F362&gt;=2,IF(D362&gt;=16,"H",IF(D362&lt;=4,"L","A")),IF(D362&lt;=15,"L","A"))),
     IF(OR(B362="SE",B362="CE"),IF(F362&gt;=4,IF(D362&gt;=6,"H","A"),IF(F362&gt;=2,IF(D362&gt;=20,"H",IF(D362&lt;=5,"L","A")),IF(D362&lt;=19,"L","A"))),
     IF(OR(B362="ALI",B362="AIE"),IF(F362&gt;=6,IF(D362&gt;=20,"H","A"),IF(F362&gt;=2,IF(D362&gt;=51,"H",IF(D362&lt;=19,"L","A")),IF(D362&lt;=50,"L","A"))))))),
IF('Dados da OS'!$D$8=Parâmetros!$B$6,"Indicativa",
IF('Dados da OS'!$D$8=Parâmetros!$B$5,"PFS","")))</f>
        <v/>
      </c>
      <c r="M362" s="57">
        <f>IFERROR(VLOOKUP(C362,'Fatores de Impacto e INMs'!$A$3:$D$32,3,0),1)</f>
        <v>1</v>
      </c>
      <c r="N362" s="57">
        <f>IFERROR(VLOOKUP(C362,'Fatores de Impacto e INMs'!$A$3:$E$32,5,0),1)</f>
        <v>1</v>
      </c>
      <c r="O362" s="63" t="str">
        <f xml:space="preserve">
IF(OR('Dados da OS'!$D$8="Selecione o tipo da contagem",ISBLANK('Dados da OS'!$D$8),B362="INM",B362="N/A",ISBLANK(B362),ISBLANK(C362),N362="VF"),"-",
   IF('Dados da OS'!$D$8=Parâmetros!$B$3,
      IF(OR(ISBLANK(D362),ISBLANK(F362)),"-",
         IF(L362="L","Baixa",IF(L362="A","Média",IF(L362="H","Alta","-")))),
      IF('Dados da OS'!$D$8=Parâmetros!$B$4,
         IF(OR(B362="ALI",B362="AIE"),"Baixa",IF(OR(B362="EE",B362="SE",B362="CE"),"Média","-")),
         IF(OR('Dados da OS'!$D$8=Parâmetros!$B$5,'Dados da OS'!$D$8=Parâmetros!$B$6),"-"))))</f>
        <v>-</v>
      </c>
      <c r="P362" s="59" t="str">
        <f xml:space="preserve">
IF(OR(ISBLANK(B362),ISBLANK(C362),B362="N/A",ISBLANK('Dados da OS'!$D$8)),"",
   IF(OR('Dados da OS'!$D$8=Parâmetros!$B$3,'Dados da OS'!$D$8=Parâmetros!$B$4),
      IF(OR(AND(B362="INM",N362&lt;&gt;"VF"),AND(N362="VF",B362&lt;&gt;"INM")),"",
        IF(AND(B362="INM",N362="VF"),IF(ISBLANK(H362),"",M362*H362),
        IF('Dados da OS'!$D$8=Parâmetros!$B$4,
           IF(OR(B362="CE",B362="EE"),4,IF(B362="SE",5,IF(B362="ALI",7,IF(B362="AIE",5,"")))),
        IF('Dados da OS'!$D$8=Parâmetros!$B$3,
           IF(OR(ISBLANK(D362),ISBLANK(F362)),"",
              IF(B362="ALI",IF(L362="L",7,IF(L362="A",10,15)),
                 IF(B362="AIE",IF(L362="L",5,IF(L362="A",7,10)),
                    IF(B362="SE",IF(L362="L",4,IF(L362="A",5,7)),
                       IF(OR(B362="EE",B362="CE"),IF(L362="L",3,IF(L362="A",4,6)),""))))))))),
   IF('Dados da OS'!$D$8=Parâmetros!$B$5,
      IF(OR(AND(B362="INM",N362&lt;&gt;"VF"),AND(N362="VF",B362&lt;&gt;"INM")),"",
         IF(B362="INM",IF(N362="VF",M362*H362,""),
            IF(B362="PE",4.6,
            IF(B362="AL",7,"")))),
   IF('Dados da OS'!$D$8=Parâmetros!$B$6,
      IF(B362="ALI",35,IF(B362="AIE",15,"")),""))
    )
)</f>
        <v/>
      </c>
      <c r="Q362" s="60" t="str">
        <f t="shared" si="37"/>
        <v/>
      </c>
      <c r="R362" s="61"/>
      <c r="S362" s="62"/>
      <c r="T362" s="80" t="s">
        <v>21</v>
      </c>
      <c r="U362" s="81"/>
      <c r="V362" s="99"/>
      <c r="W362" s="55"/>
      <c r="X362" s="55"/>
      <c r="Y362" s="56"/>
      <c r="Z362" s="55"/>
      <c r="AA362" s="56"/>
      <c r="AB362" s="55"/>
      <c r="AC362" s="57" t="str">
        <f t="shared" si="38"/>
        <v/>
      </c>
      <c r="AD362" s="57" t="str">
        <f t="shared" si="39"/>
        <v/>
      </c>
      <c r="AE362" s="57" t="str">
        <f xml:space="preserve">
IF(OR('Dados da OS'!$D$8=Parâmetros!$B$3,'Dados da OS'!$D$8=Parâmetros!$B$4),
  IF(OR(ISBLANK(X362),ISBLANK(Z362)),
     IF(OR(V362="ALI",V362="AIE"),"L",IF(ISBLANK(V362),"","A")),
     IF(V362="EE",IF(Z362&gt;=3,IF(X362&gt;=5,"H","A"),
     IF(Z362&gt;=2,IF(X362&gt;=16,"H",IF(X362&lt;=4,"L","A")),IF(X362&lt;=15,"L","A"))),
     IF(OR(V362="SE",V362="CE"),IF(Z362&gt;=4,IF(X362&gt;=6,"H","A"),IF(Z362&gt;=2,IF(X362&gt;=20,"H",IF(X362&lt;=5,"L","A")),IF(X362&lt;=19,"L","A"))),
     IF(OR(V362="ALI",V362="AIE"),IF(Z362&gt;=6,IF(X362&gt;=20,"H","A"),IF(Z362&gt;=2,IF(X362&gt;=51,"H",IF(X362&lt;=19,"L","A")),IF(X362&lt;=50,"L","A"))))))),
IF('Dados da OS'!$D$8=Parâmetros!$B$6,"Indicativa",
IF('Dados da OS'!$D$8=Parâmetros!$B$5,"PFS","")))</f>
        <v/>
      </c>
      <c r="AF362" s="57">
        <f>IFERROR(VLOOKUP(W362,'Fatores de Impacto e INMs'!$A$3:$D$32,3,0),1)</f>
        <v>1</v>
      </c>
      <c r="AG362" s="57">
        <f>IFERROR(VLOOKUP(W362,'Fatores de Impacto e INMs'!$A$3:$E$32,5,0),1)</f>
        <v>1</v>
      </c>
      <c r="AH362" s="82" t="str">
        <f xml:space="preserve">
IF(OR('Dados da OS'!$D$8="Selecione o tipo da contagem",ISBLANK('Dados da OS'!$D$8),V362="INM",V362="N/A",ISBLANK(V362),ISBLANK(W362),AG362="VF"),"-",
   IF('Dados da OS'!$D$8=Parâmetros!$B$3,
      IF(OR(ISBLANK(X362),ISBLANK(Z362)),"-",
         IF(AE362="L","Baixa",IF(AE362="A","Média",IF(AE362="H","Alta","-")))),
      IF('Dados da OS'!$D$8=Parâmetros!$B$4,
         IF(OR(V362="ALI",V362="AIE"),"Baixa",IF(OR(V362="EE",V362="SE",V362="CE"),"Média","-")),
         IF(OR('Dados da OS'!$D$8=Parâmetros!$B$5,'Dados da OS'!$D$8=Parâmetros!$B$6),"-"))))</f>
        <v>-</v>
      </c>
      <c r="AI362" s="83" t="str">
        <f xml:space="preserve">
IF(OR(ISBLANK(V362),ISBLANK(U362),ISBLANK(W362),V362="N/A",ISBLANK('Dados da OS'!$D$8)),"",
   IF(OR('Dados da OS'!$D$8=Parâmetros!$B$3,'Dados da OS'!$D$8=Parâmetros!$B$4),
      IF(OR(AND(V362="INM",AG362&lt;&gt;"VF"),AND(AG362="VF",V362&lt;&gt;"INM")),"",
        IF(AND(V362="INM",AG362="VF"),IF(ISBLANK(AB362),"",AF362*AB362),
        IF('Dados da OS'!$D$8=Parâmetros!$B$4,
           IF(OR(V362="CE",V362="EE"),4,IF(V362="SE",5,IF(V362="ALI",7,IF(V362="AIE",5,"")))),
        IF('Dados da OS'!$D$8=Parâmetros!$B$3,
           IF(OR(ISBLANK(X362),ISBLANK(Z362)),"",
              IF(V362="ALI",IF(AE362="L",7,IF(AE362="A",10,15)),
                 IF(V362="AIE",IF(AE362="L",5,IF(AE362="A",7,10)),
                    IF(V362="SE",IF(AE362="L",4,IF(AE362="A",5,7)),
                       IF(OR(V362="EE",V362="CE"),IF(AE362="L",3,IF(AE362="A",4,6)),""))))))))),
   IF('Dados da OS'!$D$8=Parâmetros!$B$5,
      IF(OR(AND(V362="INM",AG362&lt;&gt;"VF"),AND(AG362="VF",V362&lt;&gt;"INM")),"",
         IF(V362="INM",IF(AG362="VF",AF362*AB362,""),
            IF(V362="PE",4.6,
            IF(V362="AL",7,"")))),
   IF('Dados da OS'!$D$8=Parâmetros!$B$6,
      IF(V362="ALI",35,IF(V362="AIE",15,"")),""))
    )
)</f>
        <v/>
      </c>
      <c r="AJ362" s="82" t="str">
        <f t="shared" si="40"/>
        <v/>
      </c>
      <c r="AK362" s="84"/>
      <c r="AL362" s="85" t="s">
        <v>21</v>
      </c>
      <c r="AM362" s="86"/>
      <c r="AN362" s="85"/>
      <c r="AO362" s="87"/>
      <c r="AP362" s="85"/>
      <c r="AQ362" s="86"/>
      <c r="AR362" s="85"/>
    </row>
    <row r="363" spans="1:44" ht="15.75" customHeight="1">
      <c r="A363" s="54"/>
      <c r="B363" s="100"/>
      <c r="C363" s="55"/>
      <c r="D363" s="55"/>
      <c r="E363" s="56"/>
      <c r="F363" s="55"/>
      <c r="G363" s="56"/>
      <c r="H363" s="55"/>
      <c r="I363" s="64"/>
      <c r="J363" s="57" t="str">
        <f t="shared" si="35"/>
        <v/>
      </c>
      <c r="K363" s="57" t="str">
        <f t="shared" si="36"/>
        <v/>
      </c>
      <c r="L363" s="57" t="str">
        <f xml:space="preserve">
IF(OR('Dados da OS'!$D$8=Parâmetros!$B$3,'Dados da OS'!$D$8=Parâmetros!$B$4),
  IF(OR(ISBLANK(D363),ISBLANK(F363)),
     IF(OR(B363="ALI",B363="AIE"),"L",IF(ISBLANK(B363),"","A")),
     IF(B363="EE",IF(F363&gt;=3,IF(D363&gt;=5,"H","A"),
     IF(F363&gt;=2,IF(D363&gt;=16,"H",IF(D363&lt;=4,"L","A")),IF(D363&lt;=15,"L","A"))),
     IF(OR(B363="SE",B363="CE"),IF(F363&gt;=4,IF(D363&gt;=6,"H","A"),IF(F363&gt;=2,IF(D363&gt;=20,"H",IF(D363&lt;=5,"L","A")),IF(D363&lt;=19,"L","A"))),
     IF(OR(B363="ALI",B363="AIE"),IF(F363&gt;=6,IF(D363&gt;=20,"H","A"),IF(F363&gt;=2,IF(D363&gt;=51,"H",IF(D363&lt;=19,"L","A")),IF(D363&lt;=50,"L","A"))))))),
IF('Dados da OS'!$D$8=Parâmetros!$B$6,"Indicativa",
IF('Dados da OS'!$D$8=Parâmetros!$B$5,"PFS","")))</f>
        <v/>
      </c>
      <c r="M363" s="57">
        <f>IFERROR(VLOOKUP(C363,'Fatores de Impacto e INMs'!$A$3:$D$32,3,0),1)</f>
        <v>1</v>
      </c>
      <c r="N363" s="57">
        <f>IFERROR(VLOOKUP(C363,'Fatores de Impacto e INMs'!$A$3:$E$32,5,0),1)</f>
        <v>1</v>
      </c>
      <c r="O363" s="63" t="str">
        <f xml:space="preserve">
IF(OR('Dados da OS'!$D$8="Selecione o tipo da contagem",ISBLANK('Dados da OS'!$D$8),B363="INM",B363="N/A",ISBLANK(B363),ISBLANK(C363),N363="VF"),"-",
   IF('Dados da OS'!$D$8=Parâmetros!$B$3,
      IF(OR(ISBLANK(D363),ISBLANK(F363)),"-",
         IF(L363="L","Baixa",IF(L363="A","Média",IF(L363="H","Alta","-")))),
      IF('Dados da OS'!$D$8=Parâmetros!$B$4,
         IF(OR(B363="ALI",B363="AIE"),"Baixa",IF(OR(B363="EE",B363="SE",B363="CE"),"Média","-")),
         IF(OR('Dados da OS'!$D$8=Parâmetros!$B$5,'Dados da OS'!$D$8=Parâmetros!$B$6),"-"))))</f>
        <v>-</v>
      </c>
      <c r="P363" s="59" t="str">
        <f xml:space="preserve">
IF(OR(ISBLANK(B363),ISBLANK(C363),B363="N/A",ISBLANK('Dados da OS'!$D$8)),"",
   IF(OR('Dados da OS'!$D$8=Parâmetros!$B$3,'Dados da OS'!$D$8=Parâmetros!$B$4),
      IF(OR(AND(B363="INM",N363&lt;&gt;"VF"),AND(N363="VF",B363&lt;&gt;"INM")),"",
        IF(AND(B363="INM",N363="VF"),IF(ISBLANK(H363),"",M363*H363),
        IF('Dados da OS'!$D$8=Parâmetros!$B$4,
           IF(OR(B363="CE",B363="EE"),4,IF(B363="SE",5,IF(B363="ALI",7,IF(B363="AIE",5,"")))),
        IF('Dados da OS'!$D$8=Parâmetros!$B$3,
           IF(OR(ISBLANK(D363),ISBLANK(F363)),"",
              IF(B363="ALI",IF(L363="L",7,IF(L363="A",10,15)),
                 IF(B363="AIE",IF(L363="L",5,IF(L363="A",7,10)),
                    IF(B363="SE",IF(L363="L",4,IF(L363="A",5,7)),
                       IF(OR(B363="EE",B363="CE"),IF(L363="L",3,IF(L363="A",4,6)),""))))))))),
   IF('Dados da OS'!$D$8=Parâmetros!$B$5,
      IF(OR(AND(B363="INM",N363&lt;&gt;"VF"),AND(N363="VF",B363&lt;&gt;"INM")),"",
         IF(B363="INM",IF(N363="VF",M363*H363,""),
            IF(B363="PE",4.6,
            IF(B363="AL",7,"")))),
   IF('Dados da OS'!$D$8=Parâmetros!$B$6,
      IF(B363="ALI",35,IF(B363="AIE",15,"")),""))
    )
)</f>
        <v/>
      </c>
      <c r="Q363" s="60" t="str">
        <f t="shared" si="37"/>
        <v/>
      </c>
      <c r="R363" s="61"/>
      <c r="S363" s="62"/>
      <c r="T363" s="80" t="s">
        <v>21</v>
      </c>
      <c r="U363" s="81"/>
      <c r="V363" s="99"/>
      <c r="W363" s="55"/>
      <c r="X363" s="55"/>
      <c r="Y363" s="56"/>
      <c r="Z363" s="55"/>
      <c r="AA363" s="56"/>
      <c r="AB363" s="55"/>
      <c r="AC363" s="57" t="str">
        <f t="shared" si="38"/>
        <v/>
      </c>
      <c r="AD363" s="57" t="str">
        <f t="shared" si="39"/>
        <v/>
      </c>
      <c r="AE363" s="57" t="str">
        <f xml:space="preserve">
IF(OR('Dados da OS'!$D$8=Parâmetros!$B$3,'Dados da OS'!$D$8=Parâmetros!$B$4),
  IF(OR(ISBLANK(X363),ISBLANK(Z363)),
     IF(OR(V363="ALI",V363="AIE"),"L",IF(ISBLANK(V363),"","A")),
     IF(V363="EE",IF(Z363&gt;=3,IF(X363&gt;=5,"H","A"),
     IF(Z363&gt;=2,IF(X363&gt;=16,"H",IF(X363&lt;=4,"L","A")),IF(X363&lt;=15,"L","A"))),
     IF(OR(V363="SE",V363="CE"),IF(Z363&gt;=4,IF(X363&gt;=6,"H","A"),IF(Z363&gt;=2,IF(X363&gt;=20,"H",IF(X363&lt;=5,"L","A")),IF(X363&lt;=19,"L","A"))),
     IF(OR(V363="ALI",V363="AIE"),IF(Z363&gt;=6,IF(X363&gt;=20,"H","A"),IF(Z363&gt;=2,IF(X363&gt;=51,"H",IF(X363&lt;=19,"L","A")),IF(X363&lt;=50,"L","A"))))))),
IF('Dados da OS'!$D$8=Parâmetros!$B$6,"Indicativa",
IF('Dados da OS'!$D$8=Parâmetros!$B$5,"PFS","")))</f>
        <v/>
      </c>
      <c r="AF363" s="57">
        <f>IFERROR(VLOOKUP(W363,'Fatores de Impacto e INMs'!$A$3:$D$32,3,0),1)</f>
        <v>1</v>
      </c>
      <c r="AG363" s="57">
        <f>IFERROR(VLOOKUP(W363,'Fatores de Impacto e INMs'!$A$3:$E$32,5,0),1)</f>
        <v>1</v>
      </c>
      <c r="AH363" s="82" t="str">
        <f xml:space="preserve">
IF(OR('Dados da OS'!$D$8="Selecione o tipo da contagem",ISBLANK('Dados da OS'!$D$8),V363="INM",V363="N/A",ISBLANK(V363),ISBLANK(W363),AG363="VF"),"-",
   IF('Dados da OS'!$D$8=Parâmetros!$B$3,
      IF(OR(ISBLANK(X363),ISBLANK(Z363)),"-",
         IF(AE363="L","Baixa",IF(AE363="A","Média",IF(AE363="H","Alta","-")))),
      IF('Dados da OS'!$D$8=Parâmetros!$B$4,
         IF(OR(V363="ALI",V363="AIE"),"Baixa",IF(OR(V363="EE",V363="SE",V363="CE"),"Média","-")),
         IF(OR('Dados da OS'!$D$8=Parâmetros!$B$5,'Dados da OS'!$D$8=Parâmetros!$B$6),"-"))))</f>
        <v>-</v>
      </c>
      <c r="AI363" s="83" t="str">
        <f xml:space="preserve">
IF(OR(ISBLANK(V363),ISBLANK(U363),ISBLANK(W363),V363="N/A",ISBLANK('Dados da OS'!$D$8)),"",
   IF(OR('Dados da OS'!$D$8=Parâmetros!$B$3,'Dados da OS'!$D$8=Parâmetros!$B$4),
      IF(OR(AND(V363="INM",AG363&lt;&gt;"VF"),AND(AG363="VF",V363&lt;&gt;"INM")),"",
        IF(AND(V363="INM",AG363="VF"),IF(ISBLANK(AB363),"",AF363*AB363),
        IF('Dados da OS'!$D$8=Parâmetros!$B$4,
           IF(OR(V363="CE",V363="EE"),4,IF(V363="SE",5,IF(V363="ALI",7,IF(V363="AIE",5,"")))),
        IF('Dados da OS'!$D$8=Parâmetros!$B$3,
           IF(OR(ISBLANK(X363),ISBLANK(Z363)),"",
              IF(V363="ALI",IF(AE363="L",7,IF(AE363="A",10,15)),
                 IF(V363="AIE",IF(AE363="L",5,IF(AE363="A",7,10)),
                    IF(V363="SE",IF(AE363="L",4,IF(AE363="A",5,7)),
                       IF(OR(V363="EE",V363="CE"),IF(AE363="L",3,IF(AE363="A",4,6)),""))))))))),
   IF('Dados da OS'!$D$8=Parâmetros!$B$5,
      IF(OR(AND(V363="INM",AG363&lt;&gt;"VF"),AND(AG363="VF",V363&lt;&gt;"INM")),"",
         IF(V363="INM",IF(AG363="VF",AF363*AB363,""),
            IF(V363="PE",4.6,
            IF(V363="AL",7,"")))),
   IF('Dados da OS'!$D$8=Parâmetros!$B$6,
      IF(V363="ALI",35,IF(V363="AIE",15,"")),""))
    )
)</f>
        <v/>
      </c>
      <c r="AJ363" s="82" t="str">
        <f t="shared" si="40"/>
        <v/>
      </c>
      <c r="AK363" s="84"/>
      <c r="AL363" s="85" t="s">
        <v>21</v>
      </c>
      <c r="AM363" s="86"/>
      <c r="AN363" s="85"/>
      <c r="AO363" s="87"/>
      <c r="AP363" s="85"/>
      <c r="AQ363" s="86"/>
      <c r="AR363" s="85"/>
    </row>
    <row r="364" spans="1:44" ht="15.75" customHeight="1">
      <c r="A364" s="54"/>
      <c r="B364" s="100"/>
      <c r="C364" s="55"/>
      <c r="D364" s="55"/>
      <c r="E364" s="56"/>
      <c r="F364" s="55"/>
      <c r="G364" s="56"/>
      <c r="H364" s="55"/>
      <c r="I364" s="64"/>
      <c r="J364" s="57" t="str">
        <f t="shared" si="35"/>
        <v/>
      </c>
      <c r="K364" s="57" t="str">
        <f t="shared" si="36"/>
        <v/>
      </c>
      <c r="L364" s="57" t="str">
        <f xml:space="preserve">
IF(OR('Dados da OS'!$D$8=Parâmetros!$B$3,'Dados da OS'!$D$8=Parâmetros!$B$4),
  IF(OR(ISBLANK(D364),ISBLANK(F364)),
     IF(OR(B364="ALI",B364="AIE"),"L",IF(ISBLANK(B364),"","A")),
     IF(B364="EE",IF(F364&gt;=3,IF(D364&gt;=5,"H","A"),
     IF(F364&gt;=2,IF(D364&gt;=16,"H",IF(D364&lt;=4,"L","A")),IF(D364&lt;=15,"L","A"))),
     IF(OR(B364="SE",B364="CE"),IF(F364&gt;=4,IF(D364&gt;=6,"H","A"),IF(F364&gt;=2,IF(D364&gt;=20,"H",IF(D364&lt;=5,"L","A")),IF(D364&lt;=19,"L","A"))),
     IF(OR(B364="ALI",B364="AIE"),IF(F364&gt;=6,IF(D364&gt;=20,"H","A"),IF(F364&gt;=2,IF(D364&gt;=51,"H",IF(D364&lt;=19,"L","A")),IF(D364&lt;=50,"L","A"))))))),
IF('Dados da OS'!$D$8=Parâmetros!$B$6,"Indicativa",
IF('Dados da OS'!$D$8=Parâmetros!$B$5,"PFS","")))</f>
        <v/>
      </c>
      <c r="M364" s="57">
        <f>IFERROR(VLOOKUP(C364,'Fatores de Impacto e INMs'!$A$3:$D$32,3,0),1)</f>
        <v>1</v>
      </c>
      <c r="N364" s="57">
        <f>IFERROR(VLOOKUP(C364,'Fatores de Impacto e INMs'!$A$3:$E$32,5,0),1)</f>
        <v>1</v>
      </c>
      <c r="O364" s="63" t="str">
        <f xml:space="preserve">
IF(OR('Dados da OS'!$D$8="Selecione o tipo da contagem",ISBLANK('Dados da OS'!$D$8),B364="INM",B364="N/A",ISBLANK(B364),ISBLANK(C364),N364="VF"),"-",
   IF('Dados da OS'!$D$8=Parâmetros!$B$3,
      IF(OR(ISBLANK(D364),ISBLANK(F364)),"-",
         IF(L364="L","Baixa",IF(L364="A","Média",IF(L364="H","Alta","-")))),
      IF('Dados da OS'!$D$8=Parâmetros!$B$4,
         IF(OR(B364="ALI",B364="AIE"),"Baixa",IF(OR(B364="EE",B364="SE",B364="CE"),"Média","-")),
         IF(OR('Dados da OS'!$D$8=Parâmetros!$B$5,'Dados da OS'!$D$8=Parâmetros!$B$6),"-"))))</f>
        <v>-</v>
      </c>
      <c r="P364" s="59" t="str">
        <f xml:space="preserve">
IF(OR(ISBLANK(B364),ISBLANK(C364),B364="N/A",ISBLANK('Dados da OS'!$D$8)),"",
   IF(OR('Dados da OS'!$D$8=Parâmetros!$B$3,'Dados da OS'!$D$8=Parâmetros!$B$4),
      IF(OR(AND(B364="INM",N364&lt;&gt;"VF"),AND(N364="VF",B364&lt;&gt;"INM")),"",
        IF(AND(B364="INM",N364="VF"),IF(ISBLANK(H364),"",M364*H364),
        IF('Dados da OS'!$D$8=Parâmetros!$B$4,
           IF(OR(B364="CE",B364="EE"),4,IF(B364="SE",5,IF(B364="ALI",7,IF(B364="AIE",5,"")))),
        IF('Dados da OS'!$D$8=Parâmetros!$B$3,
           IF(OR(ISBLANK(D364),ISBLANK(F364)),"",
              IF(B364="ALI",IF(L364="L",7,IF(L364="A",10,15)),
                 IF(B364="AIE",IF(L364="L",5,IF(L364="A",7,10)),
                    IF(B364="SE",IF(L364="L",4,IF(L364="A",5,7)),
                       IF(OR(B364="EE",B364="CE"),IF(L364="L",3,IF(L364="A",4,6)),""))))))))),
   IF('Dados da OS'!$D$8=Parâmetros!$B$5,
      IF(OR(AND(B364="INM",N364&lt;&gt;"VF"),AND(N364="VF",B364&lt;&gt;"INM")),"",
         IF(B364="INM",IF(N364="VF",M364*H364,""),
            IF(B364="PE",4.6,
            IF(B364="AL",7,"")))),
   IF('Dados da OS'!$D$8=Parâmetros!$B$6,
      IF(B364="ALI",35,IF(B364="AIE",15,"")),""))
    )
)</f>
        <v/>
      </c>
      <c r="Q364" s="60" t="str">
        <f t="shared" si="37"/>
        <v/>
      </c>
      <c r="R364" s="61"/>
      <c r="S364" s="62"/>
      <c r="T364" s="80" t="s">
        <v>21</v>
      </c>
      <c r="U364" s="81"/>
      <c r="V364" s="99"/>
      <c r="W364" s="55"/>
      <c r="X364" s="55"/>
      <c r="Y364" s="56"/>
      <c r="Z364" s="55"/>
      <c r="AA364" s="56"/>
      <c r="AB364" s="55"/>
      <c r="AC364" s="57" t="str">
        <f t="shared" si="38"/>
        <v/>
      </c>
      <c r="AD364" s="57" t="str">
        <f t="shared" si="39"/>
        <v/>
      </c>
      <c r="AE364" s="57" t="str">
        <f xml:space="preserve">
IF(OR('Dados da OS'!$D$8=Parâmetros!$B$3,'Dados da OS'!$D$8=Parâmetros!$B$4),
  IF(OR(ISBLANK(X364),ISBLANK(Z364)),
     IF(OR(V364="ALI",V364="AIE"),"L",IF(ISBLANK(V364),"","A")),
     IF(V364="EE",IF(Z364&gt;=3,IF(X364&gt;=5,"H","A"),
     IF(Z364&gt;=2,IF(X364&gt;=16,"H",IF(X364&lt;=4,"L","A")),IF(X364&lt;=15,"L","A"))),
     IF(OR(V364="SE",V364="CE"),IF(Z364&gt;=4,IF(X364&gt;=6,"H","A"),IF(Z364&gt;=2,IF(X364&gt;=20,"H",IF(X364&lt;=5,"L","A")),IF(X364&lt;=19,"L","A"))),
     IF(OR(V364="ALI",V364="AIE"),IF(Z364&gt;=6,IF(X364&gt;=20,"H","A"),IF(Z364&gt;=2,IF(X364&gt;=51,"H",IF(X364&lt;=19,"L","A")),IF(X364&lt;=50,"L","A"))))))),
IF('Dados da OS'!$D$8=Parâmetros!$B$6,"Indicativa",
IF('Dados da OS'!$D$8=Parâmetros!$B$5,"PFS","")))</f>
        <v/>
      </c>
      <c r="AF364" s="57">
        <f>IFERROR(VLOOKUP(W364,'Fatores de Impacto e INMs'!$A$3:$D$32,3,0),1)</f>
        <v>1</v>
      </c>
      <c r="AG364" s="57">
        <f>IFERROR(VLOOKUP(W364,'Fatores de Impacto e INMs'!$A$3:$E$32,5,0),1)</f>
        <v>1</v>
      </c>
      <c r="AH364" s="82" t="str">
        <f xml:space="preserve">
IF(OR('Dados da OS'!$D$8="Selecione o tipo da contagem",ISBLANK('Dados da OS'!$D$8),V364="INM",V364="N/A",ISBLANK(V364),ISBLANK(W364),AG364="VF"),"-",
   IF('Dados da OS'!$D$8=Parâmetros!$B$3,
      IF(OR(ISBLANK(X364),ISBLANK(Z364)),"-",
         IF(AE364="L","Baixa",IF(AE364="A","Média",IF(AE364="H","Alta","-")))),
      IF('Dados da OS'!$D$8=Parâmetros!$B$4,
         IF(OR(V364="ALI",V364="AIE"),"Baixa",IF(OR(V364="EE",V364="SE",V364="CE"),"Média","-")),
         IF(OR('Dados da OS'!$D$8=Parâmetros!$B$5,'Dados da OS'!$D$8=Parâmetros!$B$6),"-"))))</f>
        <v>-</v>
      </c>
      <c r="AI364" s="83" t="str">
        <f xml:space="preserve">
IF(OR(ISBLANK(V364),ISBLANK(U364),ISBLANK(W364),V364="N/A",ISBLANK('Dados da OS'!$D$8)),"",
   IF(OR('Dados da OS'!$D$8=Parâmetros!$B$3,'Dados da OS'!$D$8=Parâmetros!$B$4),
      IF(OR(AND(V364="INM",AG364&lt;&gt;"VF"),AND(AG364="VF",V364&lt;&gt;"INM")),"",
        IF(AND(V364="INM",AG364="VF"),IF(ISBLANK(AB364),"",AF364*AB364),
        IF('Dados da OS'!$D$8=Parâmetros!$B$4,
           IF(OR(V364="CE",V364="EE"),4,IF(V364="SE",5,IF(V364="ALI",7,IF(V364="AIE",5,"")))),
        IF('Dados da OS'!$D$8=Parâmetros!$B$3,
           IF(OR(ISBLANK(X364),ISBLANK(Z364)),"",
              IF(V364="ALI",IF(AE364="L",7,IF(AE364="A",10,15)),
                 IF(V364="AIE",IF(AE364="L",5,IF(AE364="A",7,10)),
                    IF(V364="SE",IF(AE364="L",4,IF(AE364="A",5,7)),
                       IF(OR(V364="EE",V364="CE"),IF(AE364="L",3,IF(AE364="A",4,6)),""))))))))),
   IF('Dados da OS'!$D$8=Parâmetros!$B$5,
      IF(OR(AND(V364="INM",AG364&lt;&gt;"VF"),AND(AG364="VF",V364&lt;&gt;"INM")),"",
         IF(V364="INM",IF(AG364="VF",AF364*AB364,""),
            IF(V364="PE",4.6,
            IF(V364="AL",7,"")))),
   IF('Dados da OS'!$D$8=Parâmetros!$B$6,
      IF(V364="ALI",35,IF(V364="AIE",15,"")),""))
    )
)</f>
        <v/>
      </c>
      <c r="AJ364" s="82" t="str">
        <f t="shared" si="40"/>
        <v/>
      </c>
      <c r="AK364" s="84"/>
      <c r="AL364" s="85" t="s">
        <v>21</v>
      </c>
      <c r="AM364" s="86"/>
      <c r="AN364" s="85"/>
      <c r="AO364" s="87"/>
      <c r="AP364" s="85"/>
      <c r="AQ364" s="86"/>
      <c r="AR364" s="85"/>
    </row>
    <row r="365" spans="1:44" ht="15.75" customHeight="1">
      <c r="A365" s="54"/>
      <c r="B365" s="100"/>
      <c r="C365" s="55"/>
      <c r="D365" s="55"/>
      <c r="E365" s="56"/>
      <c r="F365" s="55"/>
      <c r="G365" s="56"/>
      <c r="H365" s="55"/>
      <c r="I365" s="64"/>
      <c r="J365" s="57" t="str">
        <f t="shared" si="35"/>
        <v/>
      </c>
      <c r="K365" s="57" t="str">
        <f t="shared" si="36"/>
        <v/>
      </c>
      <c r="L365" s="57" t="str">
        <f xml:space="preserve">
IF(OR('Dados da OS'!$D$8=Parâmetros!$B$3,'Dados da OS'!$D$8=Parâmetros!$B$4),
  IF(OR(ISBLANK(D365),ISBLANK(F365)),
     IF(OR(B365="ALI",B365="AIE"),"L",IF(ISBLANK(B365),"","A")),
     IF(B365="EE",IF(F365&gt;=3,IF(D365&gt;=5,"H","A"),
     IF(F365&gt;=2,IF(D365&gt;=16,"H",IF(D365&lt;=4,"L","A")),IF(D365&lt;=15,"L","A"))),
     IF(OR(B365="SE",B365="CE"),IF(F365&gt;=4,IF(D365&gt;=6,"H","A"),IF(F365&gt;=2,IF(D365&gt;=20,"H",IF(D365&lt;=5,"L","A")),IF(D365&lt;=19,"L","A"))),
     IF(OR(B365="ALI",B365="AIE"),IF(F365&gt;=6,IF(D365&gt;=20,"H","A"),IF(F365&gt;=2,IF(D365&gt;=51,"H",IF(D365&lt;=19,"L","A")),IF(D365&lt;=50,"L","A"))))))),
IF('Dados da OS'!$D$8=Parâmetros!$B$6,"Indicativa",
IF('Dados da OS'!$D$8=Parâmetros!$B$5,"PFS","")))</f>
        <v/>
      </c>
      <c r="M365" s="57">
        <f>IFERROR(VLOOKUP(C365,'Fatores de Impacto e INMs'!$A$3:$D$32,3,0),1)</f>
        <v>1</v>
      </c>
      <c r="N365" s="57">
        <f>IFERROR(VLOOKUP(C365,'Fatores de Impacto e INMs'!$A$3:$E$32,5,0),1)</f>
        <v>1</v>
      </c>
      <c r="O365" s="63" t="str">
        <f xml:space="preserve">
IF(OR('Dados da OS'!$D$8="Selecione o tipo da contagem",ISBLANK('Dados da OS'!$D$8),B365="INM",B365="N/A",ISBLANK(B365),ISBLANK(C365),N365="VF"),"-",
   IF('Dados da OS'!$D$8=Parâmetros!$B$3,
      IF(OR(ISBLANK(D365),ISBLANK(F365)),"-",
         IF(L365="L","Baixa",IF(L365="A","Média",IF(L365="H","Alta","-")))),
      IF('Dados da OS'!$D$8=Parâmetros!$B$4,
         IF(OR(B365="ALI",B365="AIE"),"Baixa",IF(OR(B365="EE",B365="SE",B365="CE"),"Média","-")),
         IF(OR('Dados da OS'!$D$8=Parâmetros!$B$5,'Dados da OS'!$D$8=Parâmetros!$B$6),"-"))))</f>
        <v>-</v>
      </c>
      <c r="P365" s="59" t="str">
        <f xml:space="preserve">
IF(OR(ISBLANK(B365),ISBLANK(C365),B365="N/A",ISBLANK('Dados da OS'!$D$8)),"",
   IF(OR('Dados da OS'!$D$8=Parâmetros!$B$3,'Dados da OS'!$D$8=Parâmetros!$B$4),
      IF(OR(AND(B365="INM",N365&lt;&gt;"VF"),AND(N365="VF",B365&lt;&gt;"INM")),"",
        IF(AND(B365="INM",N365="VF"),IF(ISBLANK(H365),"",M365*H365),
        IF('Dados da OS'!$D$8=Parâmetros!$B$4,
           IF(OR(B365="CE",B365="EE"),4,IF(B365="SE",5,IF(B365="ALI",7,IF(B365="AIE",5,"")))),
        IF('Dados da OS'!$D$8=Parâmetros!$B$3,
           IF(OR(ISBLANK(D365),ISBLANK(F365)),"",
              IF(B365="ALI",IF(L365="L",7,IF(L365="A",10,15)),
                 IF(B365="AIE",IF(L365="L",5,IF(L365="A",7,10)),
                    IF(B365="SE",IF(L365="L",4,IF(L365="A",5,7)),
                       IF(OR(B365="EE",B365="CE"),IF(L365="L",3,IF(L365="A",4,6)),""))))))))),
   IF('Dados da OS'!$D$8=Parâmetros!$B$5,
      IF(OR(AND(B365="INM",N365&lt;&gt;"VF"),AND(N365="VF",B365&lt;&gt;"INM")),"",
         IF(B365="INM",IF(N365="VF",M365*H365,""),
            IF(B365="PE",4.6,
            IF(B365="AL",7,"")))),
   IF('Dados da OS'!$D$8=Parâmetros!$B$6,
      IF(B365="ALI",35,IF(B365="AIE",15,"")),""))
    )
)</f>
        <v/>
      </c>
      <c r="Q365" s="60" t="str">
        <f t="shared" si="37"/>
        <v/>
      </c>
      <c r="R365" s="61"/>
      <c r="S365" s="62"/>
      <c r="T365" s="80" t="s">
        <v>21</v>
      </c>
      <c r="U365" s="81"/>
      <c r="V365" s="99"/>
      <c r="W365" s="55"/>
      <c r="X365" s="55"/>
      <c r="Y365" s="56"/>
      <c r="Z365" s="55"/>
      <c r="AA365" s="56"/>
      <c r="AB365" s="55"/>
      <c r="AC365" s="57" t="str">
        <f t="shared" si="38"/>
        <v/>
      </c>
      <c r="AD365" s="57" t="str">
        <f t="shared" si="39"/>
        <v/>
      </c>
      <c r="AE365" s="57" t="str">
        <f xml:space="preserve">
IF(OR('Dados da OS'!$D$8=Parâmetros!$B$3,'Dados da OS'!$D$8=Parâmetros!$B$4),
  IF(OR(ISBLANK(X365),ISBLANK(Z365)),
     IF(OR(V365="ALI",V365="AIE"),"L",IF(ISBLANK(V365),"","A")),
     IF(V365="EE",IF(Z365&gt;=3,IF(X365&gt;=5,"H","A"),
     IF(Z365&gt;=2,IF(X365&gt;=16,"H",IF(X365&lt;=4,"L","A")),IF(X365&lt;=15,"L","A"))),
     IF(OR(V365="SE",V365="CE"),IF(Z365&gt;=4,IF(X365&gt;=6,"H","A"),IF(Z365&gt;=2,IF(X365&gt;=20,"H",IF(X365&lt;=5,"L","A")),IF(X365&lt;=19,"L","A"))),
     IF(OR(V365="ALI",V365="AIE"),IF(Z365&gt;=6,IF(X365&gt;=20,"H","A"),IF(Z365&gt;=2,IF(X365&gt;=51,"H",IF(X365&lt;=19,"L","A")),IF(X365&lt;=50,"L","A"))))))),
IF('Dados da OS'!$D$8=Parâmetros!$B$6,"Indicativa",
IF('Dados da OS'!$D$8=Parâmetros!$B$5,"PFS","")))</f>
        <v/>
      </c>
      <c r="AF365" s="57">
        <f>IFERROR(VLOOKUP(W365,'Fatores de Impacto e INMs'!$A$3:$D$32,3,0),1)</f>
        <v>1</v>
      </c>
      <c r="AG365" s="57">
        <f>IFERROR(VLOOKUP(W365,'Fatores de Impacto e INMs'!$A$3:$E$32,5,0),1)</f>
        <v>1</v>
      </c>
      <c r="AH365" s="82" t="str">
        <f xml:space="preserve">
IF(OR('Dados da OS'!$D$8="Selecione o tipo da contagem",ISBLANK('Dados da OS'!$D$8),V365="INM",V365="N/A",ISBLANK(V365),ISBLANK(W365),AG365="VF"),"-",
   IF('Dados da OS'!$D$8=Parâmetros!$B$3,
      IF(OR(ISBLANK(X365),ISBLANK(Z365)),"-",
         IF(AE365="L","Baixa",IF(AE365="A","Média",IF(AE365="H","Alta","-")))),
      IF('Dados da OS'!$D$8=Parâmetros!$B$4,
         IF(OR(V365="ALI",V365="AIE"),"Baixa",IF(OR(V365="EE",V365="SE",V365="CE"),"Média","-")),
         IF(OR('Dados da OS'!$D$8=Parâmetros!$B$5,'Dados da OS'!$D$8=Parâmetros!$B$6),"-"))))</f>
        <v>-</v>
      </c>
      <c r="AI365" s="83" t="str">
        <f xml:space="preserve">
IF(OR(ISBLANK(V365),ISBLANK(U365),ISBLANK(W365),V365="N/A",ISBLANK('Dados da OS'!$D$8)),"",
   IF(OR('Dados da OS'!$D$8=Parâmetros!$B$3,'Dados da OS'!$D$8=Parâmetros!$B$4),
      IF(OR(AND(V365="INM",AG365&lt;&gt;"VF"),AND(AG365="VF",V365&lt;&gt;"INM")),"",
        IF(AND(V365="INM",AG365="VF"),IF(ISBLANK(AB365),"",AF365*AB365),
        IF('Dados da OS'!$D$8=Parâmetros!$B$4,
           IF(OR(V365="CE",V365="EE"),4,IF(V365="SE",5,IF(V365="ALI",7,IF(V365="AIE",5,"")))),
        IF('Dados da OS'!$D$8=Parâmetros!$B$3,
           IF(OR(ISBLANK(X365),ISBLANK(Z365)),"",
              IF(V365="ALI",IF(AE365="L",7,IF(AE365="A",10,15)),
                 IF(V365="AIE",IF(AE365="L",5,IF(AE365="A",7,10)),
                    IF(V365="SE",IF(AE365="L",4,IF(AE365="A",5,7)),
                       IF(OR(V365="EE",V365="CE"),IF(AE365="L",3,IF(AE365="A",4,6)),""))))))))),
   IF('Dados da OS'!$D$8=Parâmetros!$B$5,
      IF(OR(AND(V365="INM",AG365&lt;&gt;"VF"),AND(AG365="VF",V365&lt;&gt;"INM")),"",
         IF(V365="INM",IF(AG365="VF",AF365*AB365,""),
            IF(V365="PE",4.6,
            IF(V365="AL",7,"")))),
   IF('Dados da OS'!$D$8=Parâmetros!$B$6,
      IF(V365="ALI",35,IF(V365="AIE",15,"")),""))
    )
)</f>
        <v/>
      </c>
      <c r="AJ365" s="82" t="str">
        <f t="shared" si="40"/>
        <v/>
      </c>
      <c r="AK365" s="84"/>
      <c r="AL365" s="85" t="s">
        <v>21</v>
      </c>
      <c r="AM365" s="86"/>
      <c r="AN365" s="85"/>
      <c r="AO365" s="87"/>
      <c r="AP365" s="85"/>
      <c r="AQ365" s="86"/>
      <c r="AR365" s="85"/>
    </row>
    <row r="366" spans="1:44" ht="15.75" customHeight="1">
      <c r="A366" s="54"/>
      <c r="B366" s="100"/>
      <c r="C366" s="55"/>
      <c r="D366" s="55"/>
      <c r="E366" s="56"/>
      <c r="F366" s="55"/>
      <c r="G366" s="56"/>
      <c r="H366" s="55"/>
      <c r="I366" s="64"/>
      <c r="J366" s="57" t="str">
        <f t="shared" si="35"/>
        <v/>
      </c>
      <c r="K366" s="57" t="str">
        <f t="shared" si="36"/>
        <v/>
      </c>
      <c r="L366" s="57" t="str">
        <f xml:space="preserve">
IF(OR('Dados da OS'!$D$8=Parâmetros!$B$3,'Dados da OS'!$D$8=Parâmetros!$B$4),
  IF(OR(ISBLANK(D366),ISBLANK(F366)),
     IF(OR(B366="ALI",B366="AIE"),"L",IF(ISBLANK(B366),"","A")),
     IF(B366="EE",IF(F366&gt;=3,IF(D366&gt;=5,"H","A"),
     IF(F366&gt;=2,IF(D366&gt;=16,"H",IF(D366&lt;=4,"L","A")),IF(D366&lt;=15,"L","A"))),
     IF(OR(B366="SE",B366="CE"),IF(F366&gt;=4,IF(D366&gt;=6,"H","A"),IF(F366&gt;=2,IF(D366&gt;=20,"H",IF(D366&lt;=5,"L","A")),IF(D366&lt;=19,"L","A"))),
     IF(OR(B366="ALI",B366="AIE"),IF(F366&gt;=6,IF(D366&gt;=20,"H","A"),IF(F366&gt;=2,IF(D366&gt;=51,"H",IF(D366&lt;=19,"L","A")),IF(D366&lt;=50,"L","A"))))))),
IF('Dados da OS'!$D$8=Parâmetros!$B$6,"Indicativa",
IF('Dados da OS'!$D$8=Parâmetros!$B$5,"PFS","")))</f>
        <v/>
      </c>
      <c r="M366" s="57">
        <f>IFERROR(VLOOKUP(C366,'Fatores de Impacto e INMs'!$A$3:$D$32,3,0),1)</f>
        <v>1</v>
      </c>
      <c r="N366" s="57">
        <f>IFERROR(VLOOKUP(C366,'Fatores de Impacto e INMs'!$A$3:$E$32,5,0),1)</f>
        <v>1</v>
      </c>
      <c r="O366" s="63" t="str">
        <f xml:space="preserve">
IF(OR('Dados da OS'!$D$8="Selecione o tipo da contagem",ISBLANK('Dados da OS'!$D$8),B366="INM",B366="N/A",ISBLANK(B366),ISBLANK(C366),N366="VF"),"-",
   IF('Dados da OS'!$D$8=Parâmetros!$B$3,
      IF(OR(ISBLANK(D366),ISBLANK(F366)),"-",
         IF(L366="L","Baixa",IF(L366="A","Média",IF(L366="H","Alta","-")))),
      IF('Dados da OS'!$D$8=Parâmetros!$B$4,
         IF(OR(B366="ALI",B366="AIE"),"Baixa",IF(OR(B366="EE",B366="SE",B366="CE"),"Média","-")),
         IF(OR('Dados da OS'!$D$8=Parâmetros!$B$5,'Dados da OS'!$D$8=Parâmetros!$B$6),"-"))))</f>
        <v>-</v>
      </c>
      <c r="P366" s="59" t="str">
        <f xml:space="preserve">
IF(OR(ISBLANK(B366),ISBLANK(C366),B366="N/A",ISBLANK('Dados da OS'!$D$8)),"",
   IF(OR('Dados da OS'!$D$8=Parâmetros!$B$3,'Dados da OS'!$D$8=Parâmetros!$B$4),
      IF(OR(AND(B366="INM",N366&lt;&gt;"VF"),AND(N366="VF",B366&lt;&gt;"INM")),"",
        IF(AND(B366="INM",N366="VF"),IF(ISBLANK(H366),"",M366*H366),
        IF('Dados da OS'!$D$8=Parâmetros!$B$4,
           IF(OR(B366="CE",B366="EE"),4,IF(B366="SE",5,IF(B366="ALI",7,IF(B366="AIE",5,"")))),
        IF('Dados da OS'!$D$8=Parâmetros!$B$3,
           IF(OR(ISBLANK(D366),ISBLANK(F366)),"",
              IF(B366="ALI",IF(L366="L",7,IF(L366="A",10,15)),
                 IF(B366="AIE",IF(L366="L",5,IF(L366="A",7,10)),
                    IF(B366="SE",IF(L366="L",4,IF(L366="A",5,7)),
                       IF(OR(B366="EE",B366="CE"),IF(L366="L",3,IF(L366="A",4,6)),""))))))))),
   IF('Dados da OS'!$D$8=Parâmetros!$B$5,
      IF(OR(AND(B366="INM",N366&lt;&gt;"VF"),AND(N366="VF",B366&lt;&gt;"INM")),"",
         IF(B366="INM",IF(N366="VF",M366*H366,""),
            IF(B366="PE",4.6,
            IF(B366="AL",7,"")))),
   IF('Dados da OS'!$D$8=Parâmetros!$B$6,
      IF(B366="ALI",35,IF(B366="AIE",15,"")),""))
    )
)</f>
        <v/>
      </c>
      <c r="Q366" s="60" t="str">
        <f t="shared" si="37"/>
        <v/>
      </c>
      <c r="R366" s="61"/>
      <c r="S366" s="62"/>
      <c r="T366" s="80" t="s">
        <v>21</v>
      </c>
      <c r="U366" s="81"/>
      <c r="V366" s="99"/>
      <c r="W366" s="55"/>
      <c r="X366" s="55"/>
      <c r="Y366" s="56"/>
      <c r="Z366" s="55"/>
      <c r="AA366" s="56"/>
      <c r="AB366" s="55"/>
      <c r="AC366" s="57" t="str">
        <f t="shared" si="38"/>
        <v/>
      </c>
      <c r="AD366" s="57" t="str">
        <f t="shared" si="39"/>
        <v/>
      </c>
      <c r="AE366" s="57" t="str">
        <f xml:space="preserve">
IF(OR('Dados da OS'!$D$8=Parâmetros!$B$3,'Dados da OS'!$D$8=Parâmetros!$B$4),
  IF(OR(ISBLANK(X366),ISBLANK(Z366)),
     IF(OR(V366="ALI",V366="AIE"),"L",IF(ISBLANK(V366),"","A")),
     IF(V366="EE",IF(Z366&gt;=3,IF(X366&gt;=5,"H","A"),
     IF(Z366&gt;=2,IF(X366&gt;=16,"H",IF(X366&lt;=4,"L","A")),IF(X366&lt;=15,"L","A"))),
     IF(OR(V366="SE",V366="CE"),IF(Z366&gt;=4,IF(X366&gt;=6,"H","A"),IF(Z366&gt;=2,IF(X366&gt;=20,"H",IF(X366&lt;=5,"L","A")),IF(X366&lt;=19,"L","A"))),
     IF(OR(V366="ALI",V366="AIE"),IF(Z366&gt;=6,IF(X366&gt;=20,"H","A"),IF(Z366&gt;=2,IF(X366&gt;=51,"H",IF(X366&lt;=19,"L","A")),IF(X366&lt;=50,"L","A"))))))),
IF('Dados da OS'!$D$8=Parâmetros!$B$6,"Indicativa",
IF('Dados da OS'!$D$8=Parâmetros!$B$5,"PFS","")))</f>
        <v/>
      </c>
      <c r="AF366" s="57">
        <f>IFERROR(VLOOKUP(W366,'Fatores de Impacto e INMs'!$A$3:$D$32,3,0),1)</f>
        <v>1</v>
      </c>
      <c r="AG366" s="57">
        <f>IFERROR(VLOOKUP(W366,'Fatores de Impacto e INMs'!$A$3:$E$32,5,0),1)</f>
        <v>1</v>
      </c>
      <c r="AH366" s="82" t="str">
        <f xml:space="preserve">
IF(OR('Dados da OS'!$D$8="Selecione o tipo da contagem",ISBLANK('Dados da OS'!$D$8),V366="INM",V366="N/A",ISBLANK(V366),ISBLANK(W366),AG366="VF"),"-",
   IF('Dados da OS'!$D$8=Parâmetros!$B$3,
      IF(OR(ISBLANK(X366),ISBLANK(Z366)),"-",
         IF(AE366="L","Baixa",IF(AE366="A","Média",IF(AE366="H","Alta","-")))),
      IF('Dados da OS'!$D$8=Parâmetros!$B$4,
         IF(OR(V366="ALI",V366="AIE"),"Baixa",IF(OR(V366="EE",V366="SE",V366="CE"),"Média","-")),
         IF(OR('Dados da OS'!$D$8=Parâmetros!$B$5,'Dados da OS'!$D$8=Parâmetros!$B$6),"-"))))</f>
        <v>-</v>
      </c>
      <c r="AI366" s="83" t="str">
        <f xml:space="preserve">
IF(OR(ISBLANK(V366),ISBLANK(U366),ISBLANK(W366),V366="N/A",ISBLANK('Dados da OS'!$D$8)),"",
   IF(OR('Dados da OS'!$D$8=Parâmetros!$B$3,'Dados da OS'!$D$8=Parâmetros!$B$4),
      IF(OR(AND(V366="INM",AG366&lt;&gt;"VF"),AND(AG366="VF",V366&lt;&gt;"INM")),"",
        IF(AND(V366="INM",AG366="VF"),IF(ISBLANK(AB366),"",AF366*AB366),
        IF('Dados da OS'!$D$8=Parâmetros!$B$4,
           IF(OR(V366="CE",V366="EE"),4,IF(V366="SE",5,IF(V366="ALI",7,IF(V366="AIE",5,"")))),
        IF('Dados da OS'!$D$8=Parâmetros!$B$3,
           IF(OR(ISBLANK(X366),ISBLANK(Z366)),"",
              IF(V366="ALI",IF(AE366="L",7,IF(AE366="A",10,15)),
                 IF(V366="AIE",IF(AE366="L",5,IF(AE366="A",7,10)),
                    IF(V366="SE",IF(AE366="L",4,IF(AE366="A",5,7)),
                       IF(OR(V366="EE",V366="CE"),IF(AE366="L",3,IF(AE366="A",4,6)),""))))))))),
   IF('Dados da OS'!$D$8=Parâmetros!$B$5,
      IF(OR(AND(V366="INM",AG366&lt;&gt;"VF"),AND(AG366="VF",V366&lt;&gt;"INM")),"",
         IF(V366="INM",IF(AG366="VF",AF366*AB366,""),
            IF(V366="PE",4.6,
            IF(V366="AL",7,"")))),
   IF('Dados da OS'!$D$8=Parâmetros!$B$6,
      IF(V366="ALI",35,IF(V366="AIE",15,"")),""))
    )
)</f>
        <v/>
      </c>
      <c r="AJ366" s="82" t="str">
        <f t="shared" si="40"/>
        <v/>
      </c>
      <c r="AK366" s="84"/>
      <c r="AL366" s="85" t="s">
        <v>21</v>
      </c>
      <c r="AM366" s="86"/>
      <c r="AN366" s="85"/>
      <c r="AO366" s="87"/>
      <c r="AP366" s="85"/>
      <c r="AQ366" s="86"/>
      <c r="AR366" s="85"/>
    </row>
    <row r="367" spans="1:44" ht="15.75" customHeight="1">
      <c r="A367" s="54"/>
      <c r="B367" s="100"/>
      <c r="C367" s="55"/>
      <c r="D367" s="55"/>
      <c r="E367" s="56"/>
      <c r="F367" s="55"/>
      <c r="G367" s="56"/>
      <c r="H367" s="55"/>
      <c r="I367" s="64"/>
      <c r="J367" s="57" t="str">
        <f t="shared" si="35"/>
        <v/>
      </c>
      <c r="K367" s="57" t="str">
        <f t="shared" si="36"/>
        <v/>
      </c>
      <c r="L367" s="57" t="str">
        <f xml:space="preserve">
IF(OR('Dados da OS'!$D$8=Parâmetros!$B$3,'Dados da OS'!$D$8=Parâmetros!$B$4),
  IF(OR(ISBLANK(D367),ISBLANK(F367)),
     IF(OR(B367="ALI",B367="AIE"),"L",IF(ISBLANK(B367),"","A")),
     IF(B367="EE",IF(F367&gt;=3,IF(D367&gt;=5,"H","A"),
     IF(F367&gt;=2,IF(D367&gt;=16,"H",IF(D367&lt;=4,"L","A")),IF(D367&lt;=15,"L","A"))),
     IF(OR(B367="SE",B367="CE"),IF(F367&gt;=4,IF(D367&gt;=6,"H","A"),IF(F367&gt;=2,IF(D367&gt;=20,"H",IF(D367&lt;=5,"L","A")),IF(D367&lt;=19,"L","A"))),
     IF(OR(B367="ALI",B367="AIE"),IF(F367&gt;=6,IF(D367&gt;=20,"H","A"),IF(F367&gt;=2,IF(D367&gt;=51,"H",IF(D367&lt;=19,"L","A")),IF(D367&lt;=50,"L","A"))))))),
IF('Dados da OS'!$D$8=Parâmetros!$B$6,"Indicativa",
IF('Dados da OS'!$D$8=Parâmetros!$B$5,"PFS","")))</f>
        <v/>
      </c>
      <c r="M367" s="57">
        <f>IFERROR(VLOOKUP(C367,'Fatores de Impacto e INMs'!$A$3:$D$32,3,0),1)</f>
        <v>1</v>
      </c>
      <c r="N367" s="57">
        <f>IFERROR(VLOOKUP(C367,'Fatores de Impacto e INMs'!$A$3:$E$32,5,0),1)</f>
        <v>1</v>
      </c>
      <c r="O367" s="63" t="str">
        <f xml:space="preserve">
IF(OR('Dados da OS'!$D$8="Selecione o tipo da contagem",ISBLANK('Dados da OS'!$D$8),B367="INM",B367="N/A",ISBLANK(B367),ISBLANK(C367),N367="VF"),"-",
   IF('Dados da OS'!$D$8=Parâmetros!$B$3,
      IF(OR(ISBLANK(D367),ISBLANK(F367)),"-",
         IF(L367="L","Baixa",IF(L367="A","Média",IF(L367="H","Alta","-")))),
      IF('Dados da OS'!$D$8=Parâmetros!$B$4,
         IF(OR(B367="ALI",B367="AIE"),"Baixa",IF(OR(B367="EE",B367="SE",B367="CE"),"Média","-")),
         IF(OR('Dados da OS'!$D$8=Parâmetros!$B$5,'Dados da OS'!$D$8=Parâmetros!$B$6),"-"))))</f>
        <v>-</v>
      </c>
      <c r="P367" s="59" t="str">
        <f xml:space="preserve">
IF(OR(ISBLANK(B367),ISBLANK(C367),B367="N/A",ISBLANK('Dados da OS'!$D$8)),"",
   IF(OR('Dados da OS'!$D$8=Parâmetros!$B$3,'Dados da OS'!$D$8=Parâmetros!$B$4),
      IF(OR(AND(B367="INM",N367&lt;&gt;"VF"),AND(N367="VF",B367&lt;&gt;"INM")),"",
        IF(AND(B367="INM",N367="VF"),IF(ISBLANK(H367),"",M367*H367),
        IF('Dados da OS'!$D$8=Parâmetros!$B$4,
           IF(OR(B367="CE",B367="EE"),4,IF(B367="SE",5,IF(B367="ALI",7,IF(B367="AIE",5,"")))),
        IF('Dados da OS'!$D$8=Parâmetros!$B$3,
           IF(OR(ISBLANK(D367),ISBLANK(F367)),"",
              IF(B367="ALI",IF(L367="L",7,IF(L367="A",10,15)),
                 IF(B367="AIE",IF(L367="L",5,IF(L367="A",7,10)),
                    IF(B367="SE",IF(L367="L",4,IF(L367="A",5,7)),
                       IF(OR(B367="EE",B367="CE"),IF(L367="L",3,IF(L367="A",4,6)),""))))))))),
   IF('Dados da OS'!$D$8=Parâmetros!$B$5,
      IF(OR(AND(B367="INM",N367&lt;&gt;"VF"),AND(N367="VF",B367&lt;&gt;"INM")),"",
         IF(B367="INM",IF(N367="VF",M367*H367,""),
            IF(B367="PE",4.6,
            IF(B367="AL",7,"")))),
   IF('Dados da OS'!$D$8=Parâmetros!$B$6,
      IF(B367="ALI",35,IF(B367="AIE",15,"")),""))
    )
)</f>
        <v/>
      </c>
      <c r="Q367" s="60" t="str">
        <f t="shared" si="37"/>
        <v/>
      </c>
      <c r="R367" s="61"/>
      <c r="S367" s="62"/>
      <c r="T367" s="80" t="s">
        <v>21</v>
      </c>
      <c r="U367" s="81"/>
      <c r="V367" s="99"/>
      <c r="W367" s="55"/>
      <c r="X367" s="55"/>
      <c r="Y367" s="56"/>
      <c r="Z367" s="55"/>
      <c r="AA367" s="56"/>
      <c r="AB367" s="55"/>
      <c r="AC367" s="57" t="str">
        <f t="shared" si="38"/>
        <v/>
      </c>
      <c r="AD367" s="57" t="str">
        <f t="shared" si="39"/>
        <v/>
      </c>
      <c r="AE367" s="57" t="str">
        <f xml:space="preserve">
IF(OR('Dados da OS'!$D$8=Parâmetros!$B$3,'Dados da OS'!$D$8=Parâmetros!$B$4),
  IF(OR(ISBLANK(X367),ISBLANK(Z367)),
     IF(OR(V367="ALI",V367="AIE"),"L",IF(ISBLANK(V367),"","A")),
     IF(V367="EE",IF(Z367&gt;=3,IF(X367&gt;=5,"H","A"),
     IF(Z367&gt;=2,IF(X367&gt;=16,"H",IF(X367&lt;=4,"L","A")),IF(X367&lt;=15,"L","A"))),
     IF(OR(V367="SE",V367="CE"),IF(Z367&gt;=4,IF(X367&gt;=6,"H","A"),IF(Z367&gt;=2,IF(X367&gt;=20,"H",IF(X367&lt;=5,"L","A")),IF(X367&lt;=19,"L","A"))),
     IF(OR(V367="ALI",V367="AIE"),IF(Z367&gt;=6,IF(X367&gt;=20,"H","A"),IF(Z367&gt;=2,IF(X367&gt;=51,"H",IF(X367&lt;=19,"L","A")),IF(X367&lt;=50,"L","A"))))))),
IF('Dados da OS'!$D$8=Parâmetros!$B$6,"Indicativa",
IF('Dados da OS'!$D$8=Parâmetros!$B$5,"PFS","")))</f>
        <v/>
      </c>
      <c r="AF367" s="57">
        <f>IFERROR(VLOOKUP(W367,'Fatores de Impacto e INMs'!$A$3:$D$32,3,0),1)</f>
        <v>1</v>
      </c>
      <c r="AG367" s="57">
        <f>IFERROR(VLOOKUP(W367,'Fatores de Impacto e INMs'!$A$3:$E$32,5,0),1)</f>
        <v>1</v>
      </c>
      <c r="AH367" s="82" t="str">
        <f xml:space="preserve">
IF(OR('Dados da OS'!$D$8="Selecione o tipo da contagem",ISBLANK('Dados da OS'!$D$8),V367="INM",V367="N/A",ISBLANK(V367),ISBLANK(W367),AG367="VF"),"-",
   IF('Dados da OS'!$D$8=Parâmetros!$B$3,
      IF(OR(ISBLANK(X367),ISBLANK(Z367)),"-",
         IF(AE367="L","Baixa",IF(AE367="A","Média",IF(AE367="H","Alta","-")))),
      IF('Dados da OS'!$D$8=Parâmetros!$B$4,
         IF(OR(V367="ALI",V367="AIE"),"Baixa",IF(OR(V367="EE",V367="SE",V367="CE"),"Média","-")),
         IF(OR('Dados da OS'!$D$8=Parâmetros!$B$5,'Dados da OS'!$D$8=Parâmetros!$B$6),"-"))))</f>
        <v>-</v>
      </c>
      <c r="AI367" s="83" t="str">
        <f xml:space="preserve">
IF(OR(ISBLANK(V367),ISBLANK(U367),ISBLANK(W367),V367="N/A",ISBLANK('Dados da OS'!$D$8)),"",
   IF(OR('Dados da OS'!$D$8=Parâmetros!$B$3,'Dados da OS'!$D$8=Parâmetros!$B$4),
      IF(OR(AND(V367="INM",AG367&lt;&gt;"VF"),AND(AG367="VF",V367&lt;&gt;"INM")),"",
        IF(AND(V367="INM",AG367="VF"),IF(ISBLANK(AB367),"",AF367*AB367),
        IF('Dados da OS'!$D$8=Parâmetros!$B$4,
           IF(OR(V367="CE",V367="EE"),4,IF(V367="SE",5,IF(V367="ALI",7,IF(V367="AIE",5,"")))),
        IF('Dados da OS'!$D$8=Parâmetros!$B$3,
           IF(OR(ISBLANK(X367),ISBLANK(Z367)),"",
              IF(V367="ALI",IF(AE367="L",7,IF(AE367="A",10,15)),
                 IF(V367="AIE",IF(AE367="L",5,IF(AE367="A",7,10)),
                    IF(V367="SE",IF(AE367="L",4,IF(AE367="A",5,7)),
                       IF(OR(V367="EE",V367="CE"),IF(AE367="L",3,IF(AE367="A",4,6)),""))))))))),
   IF('Dados da OS'!$D$8=Parâmetros!$B$5,
      IF(OR(AND(V367="INM",AG367&lt;&gt;"VF"),AND(AG367="VF",V367&lt;&gt;"INM")),"",
         IF(V367="INM",IF(AG367="VF",AF367*AB367,""),
            IF(V367="PE",4.6,
            IF(V367="AL",7,"")))),
   IF('Dados da OS'!$D$8=Parâmetros!$B$6,
      IF(V367="ALI",35,IF(V367="AIE",15,"")),""))
    )
)</f>
        <v/>
      </c>
      <c r="AJ367" s="82" t="str">
        <f t="shared" si="40"/>
        <v/>
      </c>
      <c r="AK367" s="84"/>
      <c r="AL367" s="85" t="s">
        <v>21</v>
      </c>
      <c r="AM367" s="86"/>
      <c r="AN367" s="85"/>
      <c r="AO367" s="87"/>
      <c r="AP367" s="85"/>
      <c r="AQ367" s="86"/>
      <c r="AR367" s="85"/>
    </row>
    <row r="368" spans="1:44" ht="15.75" customHeight="1">
      <c r="A368" s="54"/>
      <c r="B368" s="100"/>
      <c r="C368" s="55"/>
      <c r="D368" s="55"/>
      <c r="E368" s="56"/>
      <c r="F368" s="55"/>
      <c r="G368" s="56"/>
      <c r="H368" s="55"/>
      <c r="I368" s="64"/>
      <c r="J368" s="57" t="str">
        <f t="shared" si="35"/>
        <v/>
      </c>
      <c r="K368" s="57" t="str">
        <f t="shared" si="36"/>
        <v/>
      </c>
      <c r="L368" s="57" t="str">
        <f xml:space="preserve">
IF(OR('Dados da OS'!$D$8=Parâmetros!$B$3,'Dados da OS'!$D$8=Parâmetros!$B$4),
  IF(OR(ISBLANK(D368),ISBLANK(F368)),
     IF(OR(B368="ALI",B368="AIE"),"L",IF(ISBLANK(B368),"","A")),
     IF(B368="EE",IF(F368&gt;=3,IF(D368&gt;=5,"H","A"),
     IF(F368&gt;=2,IF(D368&gt;=16,"H",IF(D368&lt;=4,"L","A")),IF(D368&lt;=15,"L","A"))),
     IF(OR(B368="SE",B368="CE"),IF(F368&gt;=4,IF(D368&gt;=6,"H","A"),IF(F368&gt;=2,IF(D368&gt;=20,"H",IF(D368&lt;=5,"L","A")),IF(D368&lt;=19,"L","A"))),
     IF(OR(B368="ALI",B368="AIE"),IF(F368&gt;=6,IF(D368&gt;=20,"H","A"),IF(F368&gt;=2,IF(D368&gt;=51,"H",IF(D368&lt;=19,"L","A")),IF(D368&lt;=50,"L","A"))))))),
IF('Dados da OS'!$D$8=Parâmetros!$B$6,"Indicativa",
IF('Dados da OS'!$D$8=Parâmetros!$B$5,"PFS","")))</f>
        <v/>
      </c>
      <c r="M368" s="57">
        <f>IFERROR(VLOOKUP(C368,'Fatores de Impacto e INMs'!$A$3:$D$32,3,0),1)</f>
        <v>1</v>
      </c>
      <c r="N368" s="57">
        <f>IFERROR(VLOOKUP(C368,'Fatores de Impacto e INMs'!$A$3:$E$32,5,0),1)</f>
        <v>1</v>
      </c>
      <c r="O368" s="63" t="str">
        <f xml:space="preserve">
IF(OR('Dados da OS'!$D$8="Selecione o tipo da contagem",ISBLANK('Dados da OS'!$D$8),B368="INM",B368="N/A",ISBLANK(B368),ISBLANK(C368),N368="VF"),"-",
   IF('Dados da OS'!$D$8=Parâmetros!$B$3,
      IF(OR(ISBLANK(D368),ISBLANK(F368)),"-",
         IF(L368="L","Baixa",IF(L368="A","Média",IF(L368="H","Alta","-")))),
      IF('Dados da OS'!$D$8=Parâmetros!$B$4,
         IF(OR(B368="ALI",B368="AIE"),"Baixa",IF(OR(B368="EE",B368="SE",B368="CE"),"Média","-")),
         IF(OR('Dados da OS'!$D$8=Parâmetros!$B$5,'Dados da OS'!$D$8=Parâmetros!$B$6),"-"))))</f>
        <v>-</v>
      </c>
      <c r="P368" s="59" t="str">
        <f xml:space="preserve">
IF(OR(ISBLANK(B368),ISBLANK(C368),B368="N/A",ISBLANK('Dados da OS'!$D$8)),"",
   IF(OR('Dados da OS'!$D$8=Parâmetros!$B$3,'Dados da OS'!$D$8=Parâmetros!$B$4),
      IF(OR(AND(B368="INM",N368&lt;&gt;"VF"),AND(N368="VF",B368&lt;&gt;"INM")),"",
        IF(AND(B368="INM",N368="VF"),IF(ISBLANK(H368),"",M368*H368),
        IF('Dados da OS'!$D$8=Parâmetros!$B$4,
           IF(OR(B368="CE",B368="EE"),4,IF(B368="SE",5,IF(B368="ALI",7,IF(B368="AIE",5,"")))),
        IF('Dados da OS'!$D$8=Parâmetros!$B$3,
           IF(OR(ISBLANK(D368),ISBLANK(F368)),"",
              IF(B368="ALI",IF(L368="L",7,IF(L368="A",10,15)),
                 IF(B368="AIE",IF(L368="L",5,IF(L368="A",7,10)),
                    IF(B368="SE",IF(L368="L",4,IF(L368="A",5,7)),
                       IF(OR(B368="EE",B368="CE"),IF(L368="L",3,IF(L368="A",4,6)),""))))))))),
   IF('Dados da OS'!$D$8=Parâmetros!$B$5,
      IF(OR(AND(B368="INM",N368&lt;&gt;"VF"),AND(N368="VF",B368&lt;&gt;"INM")),"",
         IF(B368="INM",IF(N368="VF",M368*H368,""),
            IF(B368="PE",4.6,
            IF(B368="AL",7,"")))),
   IF('Dados da OS'!$D$8=Parâmetros!$B$6,
      IF(B368="ALI",35,IF(B368="AIE",15,"")),""))
    )
)</f>
        <v/>
      </c>
      <c r="Q368" s="60" t="str">
        <f t="shared" si="37"/>
        <v/>
      </c>
      <c r="R368" s="61"/>
      <c r="S368" s="62"/>
      <c r="T368" s="80" t="s">
        <v>21</v>
      </c>
      <c r="U368" s="81"/>
      <c r="V368" s="99"/>
      <c r="W368" s="55"/>
      <c r="X368" s="55"/>
      <c r="Y368" s="56"/>
      <c r="Z368" s="55"/>
      <c r="AA368" s="56"/>
      <c r="AB368" s="55"/>
      <c r="AC368" s="57" t="str">
        <f t="shared" si="38"/>
        <v/>
      </c>
      <c r="AD368" s="57" t="str">
        <f t="shared" si="39"/>
        <v/>
      </c>
      <c r="AE368" s="57" t="str">
        <f xml:space="preserve">
IF(OR('Dados da OS'!$D$8=Parâmetros!$B$3,'Dados da OS'!$D$8=Parâmetros!$B$4),
  IF(OR(ISBLANK(X368),ISBLANK(Z368)),
     IF(OR(V368="ALI",V368="AIE"),"L",IF(ISBLANK(V368),"","A")),
     IF(V368="EE",IF(Z368&gt;=3,IF(X368&gt;=5,"H","A"),
     IF(Z368&gt;=2,IF(X368&gt;=16,"H",IF(X368&lt;=4,"L","A")),IF(X368&lt;=15,"L","A"))),
     IF(OR(V368="SE",V368="CE"),IF(Z368&gt;=4,IF(X368&gt;=6,"H","A"),IF(Z368&gt;=2,IF(X368&gt;=20,"H",IF(X368&lt;=5,"L","A")),IF(X368&lt;=19,"L","A"))),
     IF(OR(V368="ALI",V368="AIE"),IF(Z368&gt;=6,IF(X368&gt;=20,"H","A"),IF(Z368&gt;=2,IF(X368&gt;=51,"H",IF(X368&lt;=19,"L","A")),IF(X368&lt;=50,"L","A"))))))),
IF('Dados da OS'!$D$8=Parâmetros!$B$6,"Indicativa",
IF('Dados da OS'!$D$8=Parâmetros!$B$5,"PFS","")))</f>
        <v/>
      </c>
      <c r="AF368" s="57">
        <f>IFERROR(VLOOKUP(W368,'Fatores de Impacto e INMs'!$A$3:$D$32,3,0),1)</f>
        <v>1</v>
      </c>
      <c r="AG368" s="57">
        <f>IFERROR(VLOOKUP(W368,'Fatores de Impacto e INMs'!$A$3:$E$32,5,0),1)</f>
        <v>1</v>
      </c>
      <c r="AH368" s="82" t="str">
        <f xml:space="preserve">
IF(OR('Dados da OS'!$D$8="Selecione o tipo da contagem",ISBLANK('Dados da OS'!$D$8),V368="INM",V368="N/A",ISBLANK(V368),ISBLANK(W368),AG368="VF"),"-",
   IF('Dados da OS'!$D$8=Parâmetros!$B$3,
      IF(OR(ISBLANK(X368),ISBLANK(Z368)),"-",
         IF(AE368="L","Baixa",IF(AE368="A","Média",IF(AE368="H","Alta","-")))),
      IF('Dados da OS'!$D$8=Parâmetros!$B$4,
         IF(OR(V368="ALI",V368="AIE"),"Baixa",IF(OR(V368="EE",V368="SE",V368="CE"),"Média","-")),
         IF(OR('Dados da OS'!$D$8=Parâmetros!$B$5,'Dados da OS'!$D$8=Parâmetros!$B$6),"-"))))</f>
        <v>-</v>
      </c>
      <c r="AI368" s="83" t="str">
        <f xml:space="preserve">
IF(OR(ISBLANK(V368),ISBLANK(U368),ISBLANK(W368),V368="N/A",ISBLANK('Dados da OS'!$D$8)),"",
   IF(OR('Dados da OS'!$D$8=Parâmetros!$B$3,'Dados da OS'!$D$8=Parâmetros!$B$4),
      IF(OR(AND(V368="INM",AG368&lt;&gt;"VF"),AND(AG368="VF",V368&lt;&gt;"INM")),"",
        IF(AND(V368="INM",AG368="VF"),IF(ISBLANK(AB368),"",AF368*AB368),
        IF('Dados da OS'!$D$8=Parâmetros!$B$4,
           IF(OR(V368="CE",V368="EE"),4,IF(V368="SE",5,IF(V368="ALI",7,IF(V368="AIE",5,"")))),
        IF('Dados da OS'!$D$8=Parâmetros!$B$3,
           IF(OR(ISBLANK(X368),ISBLANK(Z368)),"",
              IF(V368="ALI",IF(AE368="L",7,IF(AE368="A",10,15)),
                 IF(V368="AIE",IF(AE368="L",5,IF(AE368="A",7,10)),
                    IF(V368="SE",IF(AE368="L",4,IF(AE368="A",5,7)),
                       IF(OR(V368="EE",V368="CE"),IF(AE368="L",3,IF(AE368="A",4,6)),""))))))))),
   IF('Dados da OS'!$D$8=Parâmetros!$B$5,
      IF(OR(AND(V368="INM",AG368&lt;&gt;"VF"),AND(AG368="VF",V368&lt;&gt;"INM")),"",
         IF(V368="INM",IF(AG368="VF",AF368*AB368,""),
            IF(V368="PE",4.6,
            IF(V368="AL",7,"")))),
   IF('Dados da OS'!$D$8=Parâmetros!$B$6,
      IF(V368="ALI",35,IF(V368="AIE",15,"")),""))
    )
)</f>
        <v/>
      </c>
      <c r="AJ368" s="82" t="str">
        <f t="shared" si="40"/>
        <v/>
      </c>
      <c r="AK368" s="84"/>
      <c r="AL368" s="85" t="s">
        <v>21</v>
      </c>
      <c r="AM368" s="86"/>
      <c r="AN368" s="85"/>
      <c r="AO368" s="87"/>
      <c r="AP368" s="85"/>
      <c r="AQ368" s="86"/>
      <c r="AR368" s="85"/>
    </row>
    <row r="369" spans="1:44" ht="15.75" customHeight="1">
      <c r="A369" s="54"/>
      <c r="B369" s="100"/>
      <c r="C369" s="55"/>
      <c r="D369" s="55"/>
      <c r="E369" s="56"/>
      <c r="F369" s="55"/>
      <c r="G369" s="56"/>
      <c r="H369" s="55"/>
      <c r="I369" s="64"/>
      <c r="J369" s="57" t="str">
        <f t="shared" si="35"/>
        <v/>
      </c>
      <c r="K369" s="57" t="str">
        <f t="shared" si="36"/>
        <v/>
      </c>
      <c r="L369" s="57" t="str">
        <f xml:space="preserve">
IF(OR('Dados da OS'!$D$8=Parâmetros!$B$3,'Dados da OS'!$D$8=Parâmetros!$B$4),
  IF(OR(ISBLANK(D369),ISBLANK(F369)),
     IF(OR(B369="ALI",B369="AIE"),"L",IF(ISBLANK(B369),"","A")),
     IF(B369="EE",IF(F369&gt;=3,IF(D369&gt;=5,"H","A"),
     IF(F369&gt;=2,IF(D369&gt;=16,"H",IF(D369&lt;=4,"L","A")),IF(D369&lt;=15,"L","A"))),
     IF(OR(B369="SE",B369="CE"),IF(F369&gt;=4,IF(D369&gt;=6,"H","A"),IF(F369&gt;=2,IF(D369&gt;=20,"H",IF(D369&lt;=5,"L","A")),IF(D369&lt;=19,"L","A"))),
     IF(OR(B369="ALI",B369="AIE"),IF(F369&gt;=6,IF(D369&gt;=20,"H","A"),IF(F369&gt;=2,IF(D369&gt;=51,"H",IF(D369&lt;=19,"L","A")),IF(D369&lt;=50,"L","A"))))))),
IF('Dados da OS'!$D$8=Parâmetros!$B$6,"Indicativa",
IF('Dados da OS'!$D$8=Parâmetros!$B$5,"PFS","")))</f>
        <v/>
      </c>
      <c r="M369" s="57">
        <f>IFERROR(VLOOKUP(C369,'Fatores de Impacto e INMs'!$A$3:$D$32,3,0),1)</f>
        <v>1</v>
      </c>
      <c r="N369" s="57">
        <f>IFERROR(VLOOKUP(C369,'Fatores de Impacto e INMs'!$A$3:$E$32,5,0),1)</f>
        <v>1</v>
      </c>
      <c r="O369" s="63" t="str">
        <f xml:space="preserve">
IF(OR('Dados da OS'!$D$8="Selecione o tipo da contagem",ISBLANK('Dados da OS'!$D$8),B369="INM",B369="N/A",ISBLANK(B369),ISBLANK(C369),N369="VF"),"-",
   IF('Dados da OS'!$D$8=Parâmetros!$B$3,
      IF(OR(ISBLANK(D369),ISBLANK(F369)),"-",
         IF(L369="L","Baixa",IF(L369="A","Média",IF(L369="H","Alta","-")))),
      IF('Dados da OS'!$D$8=Parâmetros!$B$4,
         IF(OR(B369="ALI",B369="AIE"),"Baixa",IF(OR(B369="EE",B369="SE",B369="CE"),"Média","-")),
         IF(OR('Dados da OS'!$D$8=Parâmetros!$B$5,'Dados da OS'!$D$8=Parâmetros!$B$6),"-"))))</f>
        <v>-</v>
      </c>
      <c r="P369" s="59" t="str">
        <f xml:space="preserve">
IF(OR(ISBLANK(B369),ISBLANK(C369),B369="N/A",ISBLANK('Dados da OS'!$D$8)),"",
   IF(OR('Dados da OS'!$D$8=Parâmetros!$B$3,'Dados da OS'!$D$8=Parâmetros!$B$4),
      IF(OR(AND(B369="INM",N369&lt;&gt;"VF"),AND(N369="VF",B369&lt;&gt;"INM")),"",
        IF(AND(B369="INM",N369="VF"),IF(ISBLANK(H369),"",M369*H369),
        IF('Dados da OS'!$D$8=Parâmetros!$B$4,
           IF(OR(B369="CE",B369="EE"),4,IF(B369="SE",5,IF(B369="ALI",7,IF(B369="AIE",5,"")))),
        IF('Dados da OS'!$D$8=Parâmetros!$B$3,
           IF(OR(ISBLANK(D369),ISBLANK(F369)),"",
              IF(B369="ALI",IF(L369="L",7,IF(L369="A",10,15)),
                 IF(B369="AIE",IF(L369="L",5,IF(L369="A",7,10)),
                    IF(B369="SE",IF(L369="L",4,IF(L369="A",5,7)),
                       IF(OR(B369="EE",B369="CE"),IF(L369="L",3,IF(L369="A",4,6)),""))))))))),
   IF('Dados da OS'!$D$8=Parâmetros!$B$5,
      IF(OR(AND(B369="INM",N369&lt;&gt;"VF"),AND(N369="VF",B369&lt;&gt;"INM")),"",
         IF(B369="INM",IF(N369="VF",M369*H369,""),
            IF(B369="PE",4.6,
            IF(B369="AL",7,"")))),
   IF('Dados da OS'!$D$8=Parâmetros!$B$6,
      IF(B369="ALI",35,IF(B369="AIE",15,"")),""))
    )
)</f>
        <v/>
      </c>
      <c r="Q369" s="60" t="str">
        <f t="shared" si="37"/>
        <v/>
      </c>
      <c r="R369" s="61"/>
      <c r="S369" s="62"/>
      <c r="T369" s="80" t="s">
        <v>21</v>
      </c>
      <c r="U369" s="81"/>
      <c r="V369" s="99"/>
      <c r="W369" s="55"/>
      <c r="X369" s="55"/>
      <c r="Y369" s="56"/>
      <c r="Z369" s="55"/>
      <c r="AA369" s="56"/>
      <c r="AB369" s="55"/>
      <c r="AC369" s="57" t="str">
        <f t="shared" si="38"/>
        <v/>
      </c>
      <c r="AD369" s="57" t="str">
        <f t="shared" si="39"/>
        <v/>
      </c>
      <c r="AE369" s="57" t="str">
        <f xml:space="preserve">
IF(OR('Dados da OS'!$D$8=Parâmetros!$B$3,'Dados da OS'!$D$8=Parâmetros!$B$4),
  IF(OR(ISBLANK(X369),ISBLANK(Z369)),
     IF(OR(V369="ALI",V369="AIE"),"L",IF(ISBLANK(V369),"","A")),
     IF(V369="EE",IF(Z369&gt;=3,IF(X369&gt;=5,"H","A"),
     IF(Z369&gt;=2,IF(X369&gt;=16,"H",IF(X369&lt;=4,"L","A")),IF(X369&lt;=15,"L","A"))),
     IF(OR(V369="SE",V369="CE"),IF(Z369&gt;=4,IF(X369&gt;=6,"H","A"),IF(Z369&gt;=2,IF(X369&gt;=20,"H",IF(X369&lt;=5,"L","A")),IF(X369&lt;=19,"L","A"))),
     IF(OR(V369="ALI",V369="AIE"),IF(Z369&gt;=6,IF(X369&gt;=20,"H","A"),IF(Z369&gt;=2,IF(X369&gt;=51,"H",IF(X369&lt;=19,"L","A")),IF(X369&lt;=50,"L","A"))))))),
IF('Dados da OS'!$D$8=Parâmetros!$B$6,"Indicativa",
IF('Dados da OS'!$D$8=Parâmetros!$B$5,"PFS","")))</f>
        <v/>
      </c>
      <c r="AF369" s="57">
        <f>IFERROR(VLOOKUP(W369,'Fatores de Impacto e INMs'!$A$3:$D$32,3,0),1)</f>
        <v>1</v>
      </c>
      <c r="AG369" s="57">
        <f>IFERROR(VLOOKUP(W369,'Fatores de Impacto e INMs'!$A$3:$E$32,5,0),1)</f>
        <v>1</v>
      </c>
      <c r="AH369" s="82" t="str">
        <f xml:space="preserve">
IF(OR('Dados da OS'!$D$8="Selecione o tipo da contagem",ISBLANK('Dados da OS'!$D$8),V369="INM",V369="N/A",ISBLANK(V369),ISBLANK(W369),AG369="VF"),"-",
   IF('Dados da OS'!$D$8=Parâmetros!$B$3,
      IF(OR(ISBLANK(X369),ISBLANK(Z369)),"-",
         IF(AE369="L","Baixa",IF(AE369="A","Média",IF(AE369="H","Alta","-")))),
      IF('Dados da OS'!$D$8=Parâmetros!$B$4,
         IF(OR(V369="ALI",V369="AIE"),"Baixa",IF(OR(V369="EE",V369="SE",V369="CE"),"Média","-")),
         IF(OR('Dados da OS'!$D$8=Parâmetros!$B$5,'Dados da OS'!$D$8=Parâmetros!$B$6),"-"))))</f>
        <v>-</v>
      </c>
      <c r="AI369" s="83" t="str">
        <f xml:space="preserve">
IF(OR(ISBLANK(V369),ISBLANK(U369),ISBLANK(W369),V369="N/A",ISBLANK('Dados da OS'!$D$8)),"",
   IF(OR('Dados da OS'!$D$8=Parâmetros!$B$3,'Dados da OS'!$D$8=Parâmetros!$B$4),
      IF(OR(AND(V369="INM",AG369&lt;&gt;"VF"),AND(AG369="VF",V369&lt;&gt;"INM")),"",
        IF(AND(V369="INM",AG369="VF"),IF(ISBLANK(AB369),"",AF369*AB369),
        IF('Dados da OS'!$D$8=Parâmetros!$B$4,
           IF(OR(V369="CE",V369="EE"),4,IF(V369="SE",5,IF(V369="ALI",7,IF(V369="AIE",5,"")))),
        IF('Dados da OS'!$D$8=Parâmetros!$B$3,
           IF(OR(ISBLANK(X369),ISBLANK(Z369)),"",
              IF(V369="ALI",IF(AE369="L",7,IF(AE369="A",10,15)),
                 IF(V369="AIE",IF(AE369="L",5,IF(AE369="A",7,10)),
                    IF(V369="SE",IF(AE369="L",4,IF(AE369="A",5,7)),
                       IF(OR(V369="EE",V369="CE"),IF(AE369="L",3,IF(AE369="A",4,6)),""))))))))),
   IF('Dados da OS'!$D$8=Parâmetros!$B$5,
      IF(OR(AND(V369="INM",AG369&lt;&gt;"VF"),AND(AG369="VF",V369&lt;&gt;"INM")),"",
         IF(V369="INM",IF(AG369="VF",AF369*AB369,""),
            IF(V369="PE",4.6,
            IF(V369="AL",7,"")))),
   IF('Dados da OS'!$D$8=Parâmetros!$B$6,
      IF(V369="ALI",35,IF(V369="AIE",15,"")),""))
    )
)</f>
        <v/>
      </c>
      <c r="AJ369" s="82" t="str">
        <f t="shared" si="40"/>
        <v/>
      </c>
      <c r="AK369" s="84"/>
      <c r="AL369" s="85" t="s">
        <v>21</v>
      </c>
      <c r="AM369" s="86"/>
      <c r="AN369" s="85"/>
      <c r="AO369" s="87"/>
      <c r="AP369" s="85"/>
      <c r="AQ369" s="86"/>
      <c r="AR369" s="85"/>
    </row>
    <row r="370" spans="1:44" ht="15.75" customHeight="1">
      <c r="A370" s="54"/>
      <c r="B370" s="100"/>
      <c r="C370" s="55"/>
      <c r="D370" s="55"/>
      <c r="E370" s="56"/>
      <c r="F370" s="55"/>
      <c r="G370" s="56"/>
      <c r="H370" s="55"/>
      <c r="I370" s="64"/>
      <c r="J370" s="57" t="str">
        <f t="shared" si="35"/>
        <v/>
      </c>
      <c r="K370" s="57" t="str">
        <f t="shared" si="36"/>
        <v/>
      </c>
      <c r="L370" s="57" t="str">
        <f xml:space="preserve">
IF(OR('Dados da OS'!$D$8=Parâmetros!$B$3,'Dados da OS'!$D$8=Parâmetros!$B$4),
  IF(OR(ISBLANK(D370),ISBLANK(F370)),
     IF(OR(B370="ALI",B370="AIE"),"L",IF(ISBLANK(B370),"","A")),
     IF(B370="EE",IF(F370&gt;=3,IF(D370&gt;=5,"H","A"),
     IF(F370&gt;=2,IF(D370&gt;=16,"H",IF(D370&lt;=4,"L","A")),IF(D370&lt;=15,"L","A"))),
     IF(OR(B370="SE",B370="CE"),IF(F370&gt;=4,IF(D370&gt;=6,"H","A"),IF(F370&gt;=2,IF(D370&gt;=20,"H",IF(D370&lt;=5,"L","A")),IF(D370&lt;=19,"L","A"))),
     IF(OR(B370="ALI",B370="AIE"),IF(F370&gt;=6,IF(D370&gt;=20,"H","A"),IF(F370&gt;=2,IF(D370&gt;=51,"H",IF(D370&lt;=19,"L","A")),IF(D370&lt;=50,"L","A"))))))),
IF('Dados da OS'!$D$8=Parâmetros!$B$6,"Indicativa",
IF('Dados da OS'!$D$8=Parâmetros!$B$5,"PFS","")))</f>
        <v/>
      </c>
      <c r="M370" s="57">
        <f>IFERROR(VLOOKUP(C370,'Fatores de Impacto e INMs'!$A$3:$D$32,3,0),1)</f>
        <v>1</v>
      </c>
      <c r="N370" s="57">
        <f>IFERROR(VLOOKUP(C370,'Fatores de Impacto e INMs'!$A$3:$E$32,5,0),1)</f>
        <v>1</v>
      </c>
      <c r="O370" s="63" t="str">
        <f xml:space="preserve">
IF(OR('Dados da OS'!$D$8="Selecione o tipo da contagem",ISBLANK('Dados da OS'!$D$8),B370="INM",B370="N/A",ISBLANK(B370),ISBLANK(C370),N370="VF"),"-",
   IF('Dados da OS'!$D$8=Parâmetros!$B$3,
      IF(OR(ISBLANK(D370),ISBLANK(F370)),"-",
         IF(L370="L","Baixa",IF(L370="A","Média",IF(L370="H","Alta","-")))),
      IF('Dados da OS'!$D$8=Parâmetros!$B$4,
         IF(OR(B370="ALI",B370="AIE"),"Baixa",IF(OR(B370="EE",B370="SE",B370="CE"),"Média","-")),
         IF(OR('Dados da OS'!$D$8=Parâmetros!$B$5,'Dados da OS'!$D$8=Parâmetros!$B$6),"-"))))</f>
        <v>-</v>
      </c>
      <c r="P370" s="59" t="str">
        <f xml:space="preserve">
IF(OR(ISBLANK(B370),ISBLANK(C370),B370="N/A",ISBLANK('Dados da OS'!$D$8)),"",
   IF(OR('Dados da OS'!$D$8=Parâmetros!$B$3,'Dados da OS'!$D$8=Parâmetros!$B$4),
      IF(OR(AND(B370="INM",N370&lt;&gt;"VF"),AND(N370="VF",B370&lt;&gt;"INM")),"",
        IF(AND(B370="INM",N370="VF"),IF(ISBLANK(H370),"",M370*H370),
        IF('Dados da OS'!$D$8=Parâmetros!$B$4,
           IF(OR(B370="CE",B370="EE"),4,IF(B370="SE",5,IF(B370="ALI",7,IF(B370="AIE",5,"")))),
        IF('Dados da OS'!$D$8=Parâmetros!$B$3,
           IF(OR(ISBLANK(D370),ISBLANK(F370)),"",
              IF(B370="ALI",IF(L370="L",7,IF(L370="A",10,15)),
                 IF(B370="AIE",IF(L370="L",5,IF(L370="A",7,10)),
                    IF(B370="SE",IF(L370="L",4,IF(L370="A",5,7)),
                       IF(OR(B370="EE",B370="CE"),IF(L370="L",3,IF(L370="A",4,6)),""))))))))),
   IF('Dados da OS'!$D$8=Parâmetros!$B$5,
      IF(OR(AND(B370="INM",N370&lt;&gt;"VF"),AND(N370="VF",B370&lt;&gt;"INM")),"",
         IF(B370="INM",IF(N370="VF",M370*H370,""),
            IF(B370="PE",4.6,
            IF(B370="AL",7,"")))),
   IF('Dados da OS'!$D$8=Parâmetros!$B$6,
      IF(B370="ALI",35,IF(B370="AIE",15,"")),""))
    )
)</f>
        <v/>
      </c>
      <c r="Q370" s="60" t="str">
        <f t="shared" si="37"/>
        <v/>
      </c>
      <c r="R370" s="61"/>
      <c r="S370" s="62"/>
      <c r="T370" s="80" t="s">
        <v>21</v>
      </c>
      <c r="U370" s="81"/>
      <c r="V370" s="99"/>
      <c r="W370" s="55"/>
      <c r="X370" s="55"/>
      <c r="Y370" s="56"/>
      <c r="Z370" s="55"/>
      <c r="AA370" s="56"/>
      <c r="AB370" s="55"/>
      <c r="AC370" s="57" t="str">
        <f t="shared" si="38"/>
        <v/>
      </c>
      <c r="AD370" s="57" t="str">
        <f t="shared" si="39"/>
        <v/>
      </c>
      <c r="AE370" s="57" t="str">
        <f xml:space="preserve">
IF(OR('Dados da OS'!$D$8=Parâmetros!$B$3,'Dados da OS'!$D$8=Parâmetros!$B$4),
  IF(OR(ISBLANK(X370),ISBLANK(Z370)),
     IF(OR(V370="ALI",V370="AIE"),"L",IF(ISBLANK(V370),"","A")),
     IF(V370="EE",IF(Z370&gt;=3,IF(X370&gt;=5,"H","A"),
     IF(Z370&gt;=2,IF(X370&gt;=16,"H",IF(X370&lt;=4,"L","A")),IF(X370&lt;=15,"L","A"))),
     IF(OR(V370="SE",V370="CE"),IF(Z370&gt;=4,IF(X370&gt;=6,"H","A"),IF(Z370&gt;=2,IF(X370&gt;=20,"H",IF(X370&lt;=5,"L","A")),IF(X370&lt;=19,"L","A"))),
     IF(OR(V370="ALI",V370="AIE"),IF(Z370&gt;=6,IF(X370&gt;=20,"H","A"),IF(Z370&gt;=2,IF(X370&gt;=51,"H",IF(X370&lt;=19,"L","A")),IF(X370&lt;=50,"L","A"))))))),
IF('Dados da OS'!$D$8=Parâmetros!$B$6,"Indicativa",
IF('Dados da OS'!$D$8=Parâmetros!$B$5,"PFS","")))</f>
        <v/>
      </c>
      <c r="AF370" s="57">
        <f>IFERROR(VLOOKUP(W370,'Fatores de Impacto e INMs'!$A$3:$D$32,3,0),1)</f>
        <v>1</v>
      </c>
      <c r="AG370" s="57">
        <f>IFERROR(VLOOKUP(W370,'Fatores de Impacto e INMs'!$A$3:$E$32,5,0),1)</f>
        <v>1</v>
      </c>
      <c r="AH370" s="82" t="str">
        <f xml:space="preserve">
IF(OR('Dados da OS'!$D$8="Selecione o tipo da contagem",ISBLANK('Dados da OS'!$D$8),V370="INM",V370="N/A",ISBLANK(V370),ISBLANK(W370),AG370="VF"),"-",
   IF('Dados da OS'!$D$8=Parâmetros!$B$3,
      IF(OR(ISBLANK(X370),ISBLANK(Z370)),"-",
         IF(AE370="L","Baixa",IF(AE370="A","Média",IF(AE370="H","Alta","-")))),
      IF('Dados da OS'!$D$8=Parâmetros!$B$4,
         IF(OR(V370="ALI",V370="AIE"),"Baixa",IF(OR(V370="EE",V370="SE",V370="CE"),"Média","-")),
         IF(OR('Dados da OS'!$D$8=Parâmetros!$B$5,'Dados da OS'!$D$8=Parâmetros!$B$6),"-"))))</f>
        <v>-</v>
      </c>
      <c r="AI370" s="83" t="str">
        <f xml:space="preserve">
IF(OR(ISBLANK(V370),ISBLANK(U370),ISBLANK(W370),V370="N/A",ISBLANK('Dados da OS'!$D$8)),"",
   IF(OR('Dados da OS'!$D$8=Parâmetros!$B$3,'Dados da OS'!$D$8=Parâmetros!$B$4),
      IF(OR(AND(V370="INM",AG370&lt;&gt;"VF"),AND(AG370="VF",V370&lt;&gt;"INM")),"",
        IF(AND(V370="INM",AG370="VF"),IF(ISBLANK(AB370),"",AF370*AB370),
        IF('Dados da OS'!$D$8=Parâmetros!$B$4,
           IF(OR(V370="CE",V370="EE"),4,IF(V370="SE",5,IF(V370="ALI",7,IF(V370="AIE",5,"")))),
        IF('Dados da OS'!$D$8=Parâmetros!$B$3,
           IF(OR(ISBLANK(X370),ISBLANK(Z370)),"",
              IF(V370="ALI",IF(AE370="L",7,IF(AE370="A",10,15)),
                 IF(V370="AIE",IF(AE370="L",5,IF(AE370="A",7,10)),
                    IF(V370="SE",IF(AE370="L",4,IF(AE370="A",5,7)),
                       IF(OR(V370="EE",V370="CE"),IF(AE370="L",3,IF(AE370="A",4,6)),""))))))))),
   IF('Dados da OS'!$D$8=Parâmetros!$B$5,
      IF(OR(AND(V370="INM",AG370&lt;&gt;"VF"),AND(AG370="VF",V370&lt;&gt;"INM")),"",
         IF(V370="INM",IF(AG370="VF",AF370*AB370,""),
            IF(V370="PE",4.6,
            IF(V370="AL",7,"")))),
   IF('Dados da OS'!$D$8=Parâmetros!$B$6,
      IF(V370="ALI",35,IF(V370="AIE",15,"")),""))
    )
)</f>
        <v/>
      </c>
      <c r="AJ370" s="82" t="str">
        <f t="shared" si="40"/>
        <v/>
      </c>
      <c r="AK370" s="84"/>
      <c r="AL370" s="85" t="s">
        <v>21</v>
      </c>
      <c r="AM370" s="86"/>
      <c r="AN370" s="85"/>
      <c r="AO370" s="87"/>
      <c r="AP370" s="85"/>
      <c r="AQ370" s="86"/>
      <c r="AR370" s="85"/>
    </row>
    <row r="371" spans="1:44" ht="15.75" customHeight="1">
      <c r="A371" s="54"/>
      <c r="B371" s="100"/>
      <c r="C371" s="55"/>
      <c r="D371" s="55"/>
      <c r="E371" s="56"/>
      <c r="F371" s="55"/>
      <c r="G371" s="56"/>
      <c r="H371" s="55"/>
      <c r="I371" s="64"/>
      <c r="J371" s="57" t="str">
        <f t="shared" si="35"/>
        <v/>
      </c>
      <c r="K371" s="57" t="str">
        <f t="shared" si="36"/>
        <v/>
      </c>
      <c r="L371" s="57" t="str">
        <f xml:space="preserve">
IF(OR('Dados da OS'!$D$8=Parâmetros!$B$3,'Dados da OS'!$D$8=Parâmetros!$B$4),
  IF(OR(ISBLANK(D371),ISBLANK(F371)),
     IF(OR(B371="ALI",B371="AIE"),"L",IF(ISBLANK(B371),"","A")),
     IF(B371="EE",IF(F371&gt;=3,IF(D371&gt;=5,"H","A"),
     IF(F371&gt;=2,IF(D371&gt;=16,"H",IF(D371&lt;=4,"L","A")),IF(D371&lt;=15,"L","A"))),
     IF(OR(B371="SE",B371="CE"),IF(F371&gt;=4,IF(D371&gt;=6,"H","A"),IF(F371&gt;=2,IF(D371&gt;=20,"H",IF(D371&lt;=5,"L","A")),IF(D371&lt;=19,"L","A"))),
     IF(OR(B371="ALI",B371="AIE"),IF(F371&gt;=6,IF(D371&gt;=20,"H","A"),IF(F371&gt;=2,IF(D371&gt;=51,"H",IF(D371&lt;=19,"L","A")),IF(D371&lt;=50,"L","A"))))))),
IF('Dados da OS'!$D$8=Parâmetros!$B$6,"Indicativa",
IF('Dados da OS'!$D$8=Parâmetros!$B$5,"PFS","")))</f>
        <v/>
      </c>
      <c r="M371" s="57">
        <f>IFERROR(VLOOKUP(C371,'Fatores de Impacto e INMs'!$A$3:$D$32,3,0),1)</f>
        <v>1</v>
      </c>
      <c r="N371" s="57">
        <f>IFERROR(VLOOKUP(C371,'Fatores de Impacto e INMs'!$A$3:$E$32,5,0),1)</f>
        <v>1</v>
      </c>
      <c r="O371" s="63" t="str">
        <f xml:space="preserve">
IF(OR('Dados da OS'!$D$8="Selecione o tipo da contagem",ISBLANK('Dados da OS'!$D$8),B371="INM",B371="N/A",ISBLANK(B371),ISBLANK(C371),N371="VF"),"-",
   IF('Dados da OS'!$D$8=Parâmetros!$B$3,
      IF(OR(ISBLANK(D371),ISBLANK(F371)),"-",
         IF(L371="L","Baixa",IF(L371="A","Média",IF(L371="H","Alta","-")))),
      IF('Dados da OS'!$D$8=Parâmetros!$B$4,
         IF(OR(B371="ALI",B371="AIE"),"Baixa",IF(OR(B371="EE",B371="SE",B371="CE"),"Média","-")),
         IF(OR('Dados da OS'!$D$8=Parâmetros!$B$5,'Dados da OS'!$D$8=Parâmetros!$B$6),"-"))))</f>
        <v>-</v>
      </c>
      <c r="P371" s="59" t="str">
        <f xml:space="preserve">
IF(OR(ISBLANK(B371),ISBLANK(C371),B371="N/A",ISBLANK('Dados da OS'!$D$8)),"",
   IF(OR('Dados da OS'!$D$8=Parâmetros!$B$3,'Dados da OS'!$D$8=Parâmetros!$B$4),
      IF(OR(AND(B371="INM",N371&lt;&gt;"VF"),AND(N371="VF",B371&lt;&gt;"INM")),"",
        IF(AND(B371="INM",N371="VF"),IF(ISBLANK(H371),"",M371*H371),
        IF('Dados da OS'!$D$8=Parâmetros!$B$4,
           IF(OR(B371="CE",B371="EE"),4,IF(B371="SE",5,IF(B371="ALI",7,IF(B371="AIE",5,"")))),
        IF('Dados da OS'!$D$8=Parâmetros!$B$3,
           IF(OR(ISBLANK(D371),ISBLANK(F371)),"",
              IF(B371="ALI",IF(L371="L",7,IF(L371="A",10,15)),
                 IF(B371="AIE",IF(L371="L",5,IF(L371="A",7,10)),
                    IF(B371="SE",IF(L371="L",4,IF(L371="A",5,7)),
                       IF(OR(B371="EE",B371="CE"),IF(L371="L",3,IF(L371="A",4,6)),""))))))))),
   IF('Dados da OS'!$D$8=Parâmetros!$B$5,
      IF(OR(AND(B371="INM",N371&lt;&gt;"VF"),AND(N371="VF",B371&lt;&gt;"INM")),"",
         IF(B371="INM",IF(N371="VF",M371*H371,""),
            IF(B371="PE",4.6,
            IF(B371="AL",7,"")))),
   IF('Dados da OS'!$D$8=Parâmetros!$B$6,
      IF(B371="ALI",35,IF(B371="AIE",15,"")),""))
    )
)</f>
        <v/>
      </c>
      <c r="Q371" s="60" t="str">
        <f t="shared" si="37"/>
        <v/>
      </c>
      <c r="R371" s="61"/>
      <c r="S371" s="62"/>
      <c r="T371" s="80" t="s">
        <v>21</v>
      </c>
      <c r="U371" s="81"/>
      <c r="V371" s="99"/>
      <c r="W371" s="55"/>
      <c r="X371" s="55"/>
      <c r="Y371" s="56"/>
      <c r="Z371" s="55"/>
      <c r="AA371" s="56"/>
      <c r="AB371" s="55"/>
      <c r="AC371" s="57" t="str">
        <f t="shared" si="38"/>
        <v/>
      </c>
      <c r="AD371" s="57" t="str">
        <f t="shared" si="39"/>
        <v/>
      </c>
      <c r="AE371" s="57" t="str">
        <f xml:space="preserve">
IF(OR('Dados da OS'!$D$8=Parâmetros!$B$3,'Dados da OS'!$D$8=Parâmetros!$B$4),
  IF(OR(ISBLANK(X371),ISBLANK(Z371)),
     IF(OR(V371="ALI",V371="AIE"),"L",IF(ISBLANK(V371),"","A")),
     IF(V371="EE",IF(Z371&gt;=3,IF(X371&gt;=5,"H","A"),
     IF(Z371&gt;=2,IF(X371&gt;=16,"H",IF(X371&lt;=4,"L","A")),IF(X371&lt;=15,"L","A"))),
     IF(OR(V371="SE",V371="CE"),IF(Z371&gt;=4,IF(X371&gt;=6,"H","A"),IF(Z371&gt;=2,IF(X371&gt;=20,"H",IF(X371&lt;=5,"L","A")),IF(X371&lt;=19,"L","A"))),
     IF(OR(V371="ALI",V371="AIE"),IF(Z371&gt;=6,IF(X371&gt;=20,"H","A"),IF(Z371&gt;=2,IF(X371&gt;=51,"H",IF(X371&lt;=19,"L","A")),IF(X371&lt;=50,"L","A"))))))),
IF('Dados da OS'!$D$8=Parâmetros!$B$6,"Indicativa",
IF('Dados da OS'!$D$8=Parâmetros!$B$5,"PFS","")))</f>
        <v/>
      </c>
      <c r="AF371" s="57">
        <f>IFERROR(VLOOKUP(W371,'Fatores de Impacto e INMs'!$A$3:$D$32,3,0),1)</f>
        <v>1</v>
      </c>
      <c r="AG371" s="57">
        <f>IFERROR(VLOOKUP(W371,'Fatores de Impacto e INMs'!$A$3:$E$32,5,0),1)</f>
        <v>1</v>
      </c>
      <c r="AH371" s="82" t="str">
        <f xml:space="preserve">
IF(OR('Dados da OS'!$D$8="Selecione o tipo da contagem",ISBLANK('Dados da OS'!$D$8),V371="INM",V371="N/A",ISBLANK(V371),ISBLANK(W371),AG371="VF"),"-",
   IF('Dados da OS'!$D$8=Parâmetros!$B$3,
      IF(OR(ISBLANK(X371),ISBLANK(Z371)),"-",
         IF(AE371="L","Baixa",IF(AE371="A","Média",IF(AE371="H","Alta","-")))),
      IF('Dados da OS'!$D$8=Parâmetros!$B$4,
         IF(OR(V371="ALI",V371="AIE"),"Baixa",IF(OR(V371="EE",V371="SE",V371="CE"),"Média","-")),
         IF(OR('Dados da OS'!$D$8=Parâmetros!$B$5,'Dados da OS'!$D$8=Parâmetros!$B$6),"-"))))</f>
        <v>-</v>
      </c>
      <c r="AI371" s="83" t="str">
        <f xml:space="preserve">
IF(OR(ISBLANK(V371),ISBLANK(U371),ISBLANK(W371),V371="N/A",ISBLANK('Dados da OS'!$D$8)),"",
   IF(OR('Dados da OS'!$D$8=Parâmetros!$B$3,'Dados da OS'!$D$8=Parâmetros!$B$4),
      IF(OR(AND(V371="INM",AG371&lt;&gt;"VF"),AND(AG371="VF",V371&lt;&gt;"INM")),"",
        IF(AND(V371="INM",AG371="VF"),IF(ISBLANK(AB371),"",AF371*AB371),
        IF('Dados da OS'!$D$8=Parâmetros!$B$4,
           IF(OR(V371="CE",V371="EE"),4,IF(V371="SE",5,IF(V371="ALI",7,IF(V371="AIE",5,"")))),
        IF('Dados da OS'!$D$8=Parâmetros!$B$3,
           IF(OR(ISBLANK(X371),ISBLANK(Z371)),"",
              IF(V371="ALI",IF(AE371="L",7,IF(AE371="A",10,15)),
                 IF(V371="AIE",IF(AE371="L",5,IF(AE371="A",7,10)),
                    IF(V371="SE",IF(AE371="L",4,IF(AE371="A",5,7)),
                       IF(OR(V371="EE",V371="CE"),IF(AE371="L",3,IF(AE371="A",4,6)),""))))))))),
   IF('Dados da OS'!$D$8=Parâmetros!$B$5,
      IF(OR(AND(V371="INM",AG371&lt;&gt;"VF"),AND(AG371="VF",V371&lt;&gt;"INM")),"",
         IF(V371="INM",IF(AG371="VF",AF371*AB371,""),
            IF(V371="PE",4.6,
            IF(V371="AL",7,"")))),
   IF('Dados da OS'!$D$8=Parâmetros!$B$6,
      IF(V371="ALI",35,IF(V371="AIE",15,"")),""))
    )
)</f>
        <v/>
      </c>
      <c r="AJ371" s="82" t="str">
        <f t="shared" si="40"/>
        <v/>
      </c>
      <c r="AK371" s="84"/>
      <c r="AL371" s="85" t="s">
        <v>21</v>
      </c>
      <c r="AM371" s="86"/>
      <c r="AN371" s="85"/>
      <c r="AO371" s="87"/>
      <c r="AP371" s="85"/>
      <c r="AQ371" s="86"/>
      <c r="AR371" s="85"/>
    </row>
    <row r="372" spans="1:44" ht="15.75" customHeight="1">
      <c r="A372" s="54"/>
      <c r="B372" s="100"/>
      <c r="C372" s="55"/>
      <c r="D372" s="55"/>
      <c r="E372" s="56"/>
      <c r="F372" s="55"/>
      <c r="G372" s="56"/>
      <c r="H372" s="55"/>
      <c r="I372" s="64"/>
      <c r="J372" s="57" t="str">
        <f t="shared" ref="J372:J435" si="41">CONCATENATE(B372,L372)</f>
        <v/>
      </c>
      <c r="K372" s="57" t="str">
        <f t="shared" ref="K372:K435" si="42">CONCATENATE(B372,C372,L372,Q372)</f>
        <v/>
      </c>
      <c r="L372" s="57" t="str">
        <f xml:space="preserve">
IF(OR('Dados da OS'!$D$8=Parâmetros!$B$3,'Dados da OS'!$D$8=Parâmetros!$B$4),
  IF(OR(ISBLANK(D372),ISBLANK(F372)),
     IF(OR(B372="ALI",B372="AIE"),"L",IF(ISBLANK(B372),"","A")),
     IF(B372="EE",IF(F372&gt;=3,IF(D372&gt;=5,"H","A"),
     IF(F372&gt;=2,IF(D372&gt;=16,"H",IF(D372&lt;=4,"L","A")),IF(D372&lt;=15,"L","A"))),
     IF(OR(B372="SE",B372="CE"),IF(F372&gt;=4,IF(D372&gt;=6,"H","A"),IF(F372&gt;=2,IF(D372&gt;=20,"H",IF(D372&lt;=5,"L","A")),IF(D372&lt;=19,"L","A"))),
     IF(OR(B372="ALI",B372="AIE"),IF(F372&gt;=6,IF(D372&gt;=20,"H","A"),IF(F372&gt;=2,IF(D372&gt;=51,"H",IF(D372&lt;=19,"L","A")),IF(D372&lt;=50,"L","A"))))))),
IF('Dados da OS'!$D$8=Parâmetros!$B$6,"Indicativa",
IF('Dados da OS'!$D$8=Parâmetros!$B$5,"PFS","")))</f>
        <v/>
      </c>
      <c r="M372" s="57">
        <f>IFERROR(VLOOKUP(C372,'Fatores de Impacto e INMs'!$A$3:$D$32,3,0),1)</f>
        <v>1</v>
      </c>
      <c r="N372" s="57">
        <f>IFERROR(VLOOKUP(C372,'Fatores de Impacto e INMs'!$A$3:$E$32,5,0),1)</f>
        <v>1</v>
      </c>
      <c r="O372" s="63" t="str">
        <f xml:space="preserve">
IF(OR('Dados da OS'!$D$8="Selecione o tipo da contagem",ISBLANK('Dados da OS'!$D$8),B372="INM",B372="N/A",ISBLANK(B372),ISBLANK(C372),N372="VF"),"-",
   IF('Dados da OS'!$D$8=Parâmetros!$B$3,
      IF(OR(ISBLANK(D372),ISBLANK(F372)),"-",
         IF(L372="L","Baixa",IF(L372="A","Média",IF(L372="H","Alta","-")))),
      IF('Dados da OS'!$D$8=Parâmetros!$B$4,
         IF(OR(B372="ALI",B372="AIE"),"Baixa",IF(OR(B372="EE",B372="SE",B372="CE"),"Média","-")),
         IF(OR('Dados da OS'!$D$8=Parâmetros!$B$5,'Dados da OS'!$D$8=Parâmetros!$B$6),"-"))))</f>
        <v>-</v>
      </c>
      <c r="P372" s="59" t="str">
        <f xml:space="preserve">
IF(OR(ISBLANK(B372),ISBLANK(C372),B372="N/A",ISBLANK('Dados da OS'!$D$8)),"",
   IF(OR('Dados da OS'!$D$8=Parâmetros!$B$3,'Dados da OS'!$D$8=Parâmetros!$B$4),
      IF(OR(AND(B372="INM",N372&lt;&gt;"VF"),AND(N372="VF",B372&lt;&gt;"INM")),"",
        IF(AND(B372="INM",N372="VF"),IF(ISBLANK(H372),"",M372*H372),
        IF('Dados da OS'!$D$8=Parâmetros!$B$4,
           IF(OR(B372="CE",B372="EE"),4,IF(B372="SE",5,IF(B372="ALI",7,IF(B372="AIE",5,"")))),
        IF('Dados da OS'!$D$8=Parâmetros!$B$3,
           IF(OR(ISBLANK(D372),ISBLANK(F372)),"",
              IF(B372="ALI",IF(L372="L",7,IF(L372="A",10,15)),
                 IF(B372="AIE",IF(L372="L",5,IF(L372="A",7,10)),
                    IF(B372="SE",IF(L372="L",4,IF(L372="A",5,7)),
                       IF(OR(B372="EE",B372="CE"),IF(L372="L",3,IF(L372="A",4,6)),""))))))))),
   IF('Dados da OS'!$D$8=Parâmetros!$B$5,
      IF(OR(AND(B372="INM",N372&lt;&gt;"VF"),AND(N372="VF",B372&lt;&gt;"INM")),"",
         IF(B372="INM",IF(N372="VF",M372*H372,""),
            IF(B372="PE",4.6,
            IF(B372="AL",7,"")))),
   IF('Dados da OS'!$D$8=Parâmetros!$B$6,
      IF(B372="ALI",35,IF(B372="AIE",15,"")),""))
    )
)</f>
        <v/>
      </c>
      <c r="Q372" s="60" t="str">
        <f t="shared" si="37"/>
        <v/>
      </c>
      <c r="R372" s="61"/>
      <c r="S372" s="62"/>
      <c r="T372" s="80" t="s">
        <v>21</v>
      </c>
      <c r="U372" s="81"/>
      <c r="V372" s="99"/>
      <c r="W372" s="55"/>
      <c r="X372" s="55"/>
      <c r="Y372" s="56"/>
      <c r="Z372" s="55"/>
      <c r="AA372" s="56"/>
      <c r="AB372" s="55"/>
      <c r="AC372" s="57" t="str">
        <f t="shared" si="38"/>
        <v/>
      </c>
      <c r="AD372" s="57" t="str">
        <f t="shared" si="39"/>
        <v/>
      </c>
      <c r="AE372" s="57" t="str">
        <f xml:space="preserve">
IF(OR('Dados da OS'!$D$8=Parâmetros!$B$3,'Dados da OS'!$D$8=Parâmetros!$B$4),
  IF(OR(ISBLANK(X372),ISBLANK(Z372)),
     IF(OR(V372="ALI",V372="AIE"),"L",IF(ISBLANK(V372),"","A")),
     IF(V372="EE",IF(Z372&gt;=3,IF(X372&gt;=5,"H","A"),
     IF(Z372&gt;=2,IF(X372&gt;=16,"H",IF(X372&lt;=4,"L","A")),IF(X372&lt;=15,"L","A"))),
     IF(OR(V372="SE",V372="CE"),IF(Z372&gt;=4,IF(X372&gt;=6,"H","A"),IF(Z372&gt;=2,IF(X372&gt;=20,"H",IF(X372&lt;=5,"L","A")),IF(X372&lt;=19,"L","A"))),
     IF(OR(V372="ALI",V372="AIE"),IF(Z372&gt;=6,IF(X372&gt;=20,"H","A"),IF(Z372&gt;=2,IF(X372&gt;=51,"H",IF(X372&lt;=19,"L","A")),IF(X372&lt;=50,"L","A"))))))),
IF('Dados da OS'!$D$8=Parâmetros!$B$6,"Indicativa",
IF('Dados da OS'!$D$8=Parâmetros!$B$5,"PFS","")))</f>
        <v/>
      </c>
      <c r="AF372" s="57">
        <f>IFERROR(VLOOKUP(W372,'Fatores de Impacto e INMs'!$A$3:$D$32,3,0),1)</f>
        <v>1</v>
      </c>
      <c r="AG372" s="57">
        <f>IFERROR(VLOOKUP(W372,'Fatores de Impacto e INMs'!$A$3:$E$32,5,0),1)</f>
        <v>1</v>
      </c>
      <c r="AH372" s="82" t="str">
        <f xml:space="preserve">
IF(OR('Dados da OS'!$D$8="Selecione o tipo da contagem",ISBLANK('Dados da OS'!$D$8),V372="INM",V372="N/A",ISBLANK(V372),ISBLANK(W372),AG372="VF"),"-",
   IF('Dados da OS'!$D$8=Parâmetros!$B$3,
      IF(OR(ISBLANK(X372),ISBLANK(Z372)),"-",
         IF(AE372="L","Baixa",IF(AE372="A","Média",IF(AE372="H","Alta","-")))),
      IF('Dados da OS'!$D$8=Parâmetros!$B$4,
         IF(OR(V372="ALI",V372="AIE"),"Baixa",IF(OR(V372="EE",V372="SE",V372="CE"),"Média","-")),
         IF(OR('Dados da OS'!$D$8=Parâmetros!$B$5,'Dados da OS'!$D$8=Parâmetros!$B$6),"-"))))</f>
        <v>-</v>
      </c>
      <c r="AI372" s="83" t="str">
        <f xml:space="preserve">
IF(OR(ISBLANK(V372),ISBLANK(U372),ISBLANK(W372),V372="N/A",ISBLANK('Dados da OS'!$D$8)),"",
   IF(OR('Dados da OS'!$D$8=Parâmetros!$B$3,'Dados da OS'!$D$8=Parâmetros!$B$4),
      IF(OR(AND(V372="INM",AG372&lt;&gt;"VF"),AND(AG372="VF",V372&lt;&gt;"INM")),"",
        IF(AND(V372="INM",AG372="VF"),IF(ISBLANK(AB372),"",AF372*AB372),
        IF('Dados da OS'!$D$8=Parâmetros!$B$4,
           IF(OR(V372="CE",V372="EE"),4,IF(V372="SE",5,IF(V372="ALI",7,IF(V372="AIE",5,"")))),
        IF('Dados da OS'!$D$8=Parâmetros!$B$3,
           IF(OR(ISBLANK(X372),ISBLANK(Z372)),"",
              IF(V372="ALI",IF(AE372="L",7,IF(AE372="A",10,15)),
                 IF(V372="AIE",IF(AE372="L",5,IF(AE372="A",7,10)),
                    IF(V372="SE",IF(AE372="L",4,IF(AE372="A",5,7)),
                       IF(OR(V372="EE",V372="CE"),IF(AE372="L",3,IF(AE372="A",4,6)),""))))))))),
   IF('Dados da OS'!$D$8=Parâmetros!$B$5,
      IF(OR(AND(V372="INM",AG372&lt;&gt;"VF"),AND(AG372="VF",V372&lt;&gt;"INM")),"",
         IF(V372="INM",IF(AG372="VF",AF372*AB372,""),
            IF(V372="PE",4.6,
            IF(V372="AL",7,"")))),
   IF('Dados da OS'!$D$8=Parâmetros!$B$6,
      IF(V372="ALI",35,IF(V372="AIE",15,"")),""))
    )
)</f>
        <v/>
      </c>
      <c r="AJ372" s="82" t="str">
        <f t="shared" si="40"/>
        <v/>
      </c>
      <c r="AK372" s="84"/>
      <c r="AL372" s="85" t="s">
        <v>21</v>
      </c>
      <c r="AM372" s="86"/>
      <c r="AN372" s="85"/>
      <c r="AO372" s="87"/>
      <c r="AP372" s="85"/>
      <c r="AQ372" s="86"/>
      <c r="AR372" s="85"/>
    </row>
    <row r="373" spans="1:44" ht="15.75" customHeight="1">
      <c r="A373" s="54"/>
      <c r="B373" s="100"/>
      <c r="C373" s="55"/>
      <c r="D373" s="55"/>
      <c r="E373" s="56"/>
      <c r="F373" s="55"/>
      <c r="G373" s="56"/>
      <c r="H373" s="55"/>
      <c r="I373" s="64"/>
      <c r="J373" s="57" t="str">
        <f t="shared" si="41"/>
        <v/>
      </c>
      <c r="K373" s="57" t="str">
        <f t="shared" si="42"/>
        <v/>
      </c>
      <c r="L373" s="57" t="str">
        <f xml:space="preserve">
IF(OR('Dados da OS'!$D$8=Parâmetros!$B$3,'Dados da OS'!$D$8=Parâmetros!$B$4),
  IF(OR(ISBLANK(D373),ISBLANK(F373)),
     IF(OR(B373="ALI",B373="AIE"),"L",IF(ISBLANK(B373),"","A")),
     IF(B373="EE",IF(F373&gt;=3,IF(D373&gt;=5,"H","A"),
     IF(F373&gt;=2,IF(D373&gt;=16,"H",IF(D373&lt;=4,"L","A")),IF(D373&lt;=15,"L","A"))),
     IF(OR(B373="SE",B373="CE"),IF(F373&gt;=4,IF(D373&gt;=6,"H","A"),IF(F373&gt;=2,IF(D373&gt;=20,"H",IF(D373&lt;=5,"L","A")),IF(D373&lt;=19,"L","A"))),
     IF(OR(B373="ALI",B373="AIE"),IF(F373&gt;=6,IF(D373&gt;=20,"H","A"),IF(F373&gt;=2,IF(D373&gt;=51,"H",IF(D373&lt;=19,"L","A")),IF(D373&lt;=50,"L","A"))))))),
IF('Dados da OS'!$D$8=Parâmetros!$B$6,"Indicativa",
IF('Dados da OS'!$D$8=Parâmetros!$B$5,"PFS","")))</f>
        <v/>
      </c>
      <c r="M373" s="57">
        <f>IFERROR(VLOOKUP(C373,'Fatores de Impacto e INMs'!$A$3:$D$32,3,0),1)</f>
        <v>1</v>
      </c>
      <c r="N373" s="57">
        <f>IFERROR(VLOOKUP(C373,'Fatores de Impacto e INMs'!$A$3:$E$32,5,0),1)</f>
        <v>1</v>
      </c>
      <c r="O373" s="63" t="str">
        <f xml:space="preserve">
IF(OR('Dados da OS'!$D$8="Selecione o tipo da contagem",ISBLANK('Dados da OS'!$D$8),B373="INM",B373="N/A",ISBLANK(B373),ISBLANK(C373),N373="VF"),"-",
   IF('Dados da OS'!$D$8=Parâmetros!$B$3,
      IF(OR(ISBLANK(D373),ISBLANK(F373)),"-",
         IF(L373="L","Baixa",IF(L373="A","Média",IF(L373="H","Alta","-")))),
      IF('Dados da OS'!$D$8=Parâmetros!$B$4,
         IF(OR(B373="ALI",B373="AIE"),"Baixa",IF(OR(B373="EE",B373="SE",B373="CE"),"Média","-")),
         IF(OR('Dados da OS'!$D$8=Parâmetros!$B$5,'Dados da OS'!$D$8=Parâmetros!$B$6),"-"))))</f>
        <v>-</v>
      </c>
      <c r="P373" s="59" t="str">
        <f xml:space="preserve">
IF(OR(ISBLANK(B373),ISBLANK(C373),B373="N/A",ISBLANK('Dados da OS'!$D$8)),"",
   IF(OR('Dados da OS'!$D$8=Parâmetros!$B$3,'Dados da OS'!$D$8=Parâmetros!$B$4),
      IF(OR(AND(B373="INM",N373&lt;&gt;"VF"),AND(N373="VF",B373&lt;&gt;"INM")),"",
        IF(AND(B373="INM",N373="VF"),IF(ISBLANK(H373),"",M373*H373),
        IF('Dados da OS'!$D$8=Parâmetros!$B$4,
           IF(OR(B373="CE",B373="EE"),4,IF(B373="SE",5,IF(B373="ALI",7,IF(B373="AIE",5,"")))),
        IF('Dados da OS'!$D$8=Parâmetros!$B$3,
           IF(OR(ISBLANK(D373),ISBLANK(F373)),"",
              IF(B373="ALI",IF(L373="L",7,IF(L373="A",10,15)),
                 IF(B373="AIE",IF(L373="L",5,IF(L373="A",7,10)),
                    IF(B373="SE",IF(L373="L",4,IF(L373="A",5,7)),
                       IF(OR(B373="EE",B373="CE"),IF(L373="L",3,IF(L373="A",4,6)),""))))))))),
   IF('Dados da OS'!$D$8=Parâmetros!$B$5,
      IF(OR(AND(B373="INM",N373&lt;&gt;"VF"),AND(N373="VF",B373&lt;&gt;"INM")),"",
         IF(B373="INM",IF(N373="VF",M373*H373,""),
            IF(B373="PE",4.6,
            IF(B373="AL",7,"")))),
   IF('Dados da OS'!$D$8=Parâmetros!$B$6,
      IF(B373="ALI",35,IF(B373="AIE",15,"")),""))
    )
)</f>
        <v/>
      </c>
      <c r="Q373" s="60" t="str">
        <f t="shared" si="37"/>
        <v/>
      </c>
      <c r="R373" s="61"/>
      <c r="S373" s="62"/>
      <c r="T373" s="80" t="s">
        <v>21</v>
      </c>
      <c r="U373" s="81"/>
      <c r="V373" s="99"/>
      <c r="W373" s="55"/>
      <c r="X373" s="55"/>
      <c r="Y373" s="56"/>
      <c r="Z373" s="55"/>
      <c r="AA373" s="56"/>
      <c r="AB373" s="55"/>
      <c r="AC373" s="57" t="str">
        <f t="shared" si="38"/>
        <v/>
      </c>
      <c r="AD373" s="57" t="str">
        <f t="shared" si="39"/>
        <v/>
      </c>
      <c r="AE373" s="57" t="str">
        <f xml:space="preserve">
IF(OR('Dados da OS'!$D$8=Parâmetros!$B$3,'Dados da OS'!$D$8=Parâmetros!$B$4),
  IF(OR(ISBLANK(X373),ISBLANK(Z373)),
     IF(OR(V373="ALI",V373="AIE"),"L",IF(ISBLANK(V373),"","A")),
     IF(V373="EE",IF(Z373&gt;=3,IF(X373&gt;=5,"H","A"),
     IF(Z373&gt;=2,IF(X373&gt;=16,"H",IF(X373&lt;=4,"L","A")),IF(X373&lt;=15,"L","A"))),
     IF(OR(V373="SE",V373="CE"),IF(Z373&gt;=4,IF(X373&gt;=6,"H","A"),IF(Z373&gt;=2,IF(X373&gt;=20,"H",IF(X373&lt;=5,"L","A")),IF(X373&lt;=19,"L","A"))),
     IF(OR(V373="ALI",V373="AIE"),IF(Z373&gt;=6,IF(X373&gt;=20,"H","A"),IF(Z373&gt;=2,IF(X373&gt;=51,"H",IF(X373&lt;=19,"L","A")),IF(X373&lt;=50,"L","A"))))))),
IF('Dados da OS'!$D$8=Parâmetros!$B$6,"Indicativa",
IF('Dados da OS'!$D$8=Parâmetros!$B$5,"PFS","")))</f>
        <v/>
      </c>
      <c r="AF373" s="57">
        <f>IFERROR(VLOOKUP(W373,'Fatores de Impacto e INMs'!$A$3:$D$32,3,0),1)</f>
        <v>1</v>
      </c>
      <c r="AG373" s="57">
        <f>IFERROR(VLOOKUP(W373,'Fatores de Impacto e INMs'!$A$3:$E$32,5,0),1)</f>
        <v>1</v>
      </c>
      <c r="AH373" s="82" t="str">
        <f xml:space="preserve">
IF(OR('Dados da OS'!$D$8="Selecione o tipo da contagem",ISBLANK('Dados da OS'!$D$8),V373="INM",V373="N/A",ISBLANK(V373),ISBLANK(W373),AG373="VF"),"-",
   IF('Dados da OS'!$D$8=Parâmetros!$B$3,
      IF(OR(ISBLANK(X373),ISBLANK(Z373)),"-",
         IF(AE373="L","Baixa",IF(AE373="A","Média",IF(AE373="H","Alta","-")))),
      IF('Dados da OS'!$D$8=Parâmetros!$B$4,
         IF(OR(V373="ALI",V373="AIE"),"Baixa",IF(OR(V373="EE",V373="SE",V373="CE"),"Média","-")),
         IF(OR('Dados da OS'!$D$8=Parâmetros!$B$5,'Dados da OS'!$D$8=Parâmetros!$B$6),"-"))))</f>
        <v>-</v>
      </c>
      <c r="AI373" s="83" t="str">
        <f xml:space="preserve">
IF(OR(ISBLANK(V373),ISBLANK(U373),ISBLANK(W373),V373="N/A",ISBLANK('Dados da OS'!$D$8)),"",
   IF(OR('Dados da OS'!$D$8=Parâmetros!$B$3,'Dados da OS'!$D$8=Parâmetros!$B$4),
      IF(OR(AND(V373="INM",AG373&lt;&gt;"VF"),AND(AG373="VF",V373&lt;&gt;"INM")),"",
        IF(AND(V373="INM",AG373="VF"),IF(ISBLANK(AB373),"",AF373*AB373),
        IF('Dados da OS'!$D$8=Parâmetros!$B$4,
           IF(OR(V373="CE",V373="EE"),4,IF(V373="SE",5,IF(V373="ALI",7,IF(V373="AIE",5,"")))),
        IF('Dados da OS'!$D$8=Parâmetros!$B$3,
           IF(OR(ISBLANK(X373),ISBLANK(Z373)),"",
              IF(V373="ALI",IF(AE373="L",7,IF(AE373="A",10,15)),
                 IF(V373="AIE",IF(AE373="L",5,IF(AE373="A",7,10)),
                    IF(V373="SE",IF(AE373="L",4,IF(AE373="A",5,7)),
                       IF(OR(V373="EE",V373="CE"),IF(AE373="L",3,IF(AE373="A",4,6)),""))))))))),
   IF('Dados da OS'!$D$8=Parâmetros!$B$5,
      IF(OR(AND(V373="INM",AG373&lt;&gt;"VF"),AND(AG373="VF",V373&lt;&gt;"INM")),"",
         IF(V373="INM",IF(AG373="VF",AF373*AB373,""),
            IF(V373="PE",4.6,
            IF(V373="AL",7,"")))),
   IF('Dados da OS'!$D$8=Parâmetros!$B$6,
      IF(V373="ALI",35,IF(V373="AIE",15,"")),""))
    )
)</f>
        <v/>
      </c>
      <c r="AJ373" s="82" t="str">
        <f t="shared" si="40"/>
        <v/>
      </c>
      <c r="AK373" s="84"/>
      <c r="AL373" s="85" t="s">
        <v>21</v>
      </c>
      <c r="AM373" s="86"/>
      <c r="AN373" s="85"/>
      <c r="AO373" s="87"/>
      <c r="AP373" s="85"/>
      <c r="AQ373" s="86"/>
      <c r="AR373" s="85"/>
    </row>
    <row r="374" spans="1:44" ht="15.75" customHeight="1">
      <c r="A374" s="54"/>
      <c r="B374" s="100"/>
      <c r="C374" s="55"/>
      <c r="D374" s="55"/>
      <c r="E374" s="56"/>
      <c r="F374" s="55"/>
      <c r="G374" s="56"/>
      <c r="H374" s="55"/>
      <c r="I374" s="64"/>
      <c r="J374" s="57" t="str">
        <f t="shared" si="41"/>
        <v/>
      </c>
      <c r="K374" s="57" t="str">
        <f t="shared" si="42"/>
        <v/>
      </c>
      <c r="L374" s="57" t="str">
        <f xml:space="preserve">
IF(OR('Dados da OS'!$D$8=Parâmetros!$B$3,'Dados da OS'!$D$8=Parâmetros!$B$4),
  IF(OR(ISBLANK(D374),ISBLANK(F374)),
     IF(OR(B374="ALI",B374="AIE"),"L",IF(ISBLANK(B374),"","A")),
     IF(B374="EE",IF(F374&gt;=3,IF(D374&gt;=5,"H","A"),
     IF(F374&gt;=2,IF(D374&gt;=16,"H",IF(D374&lt;=4,"L","A")),IF(D374&lt;=15,"L","A"))),
     IF(OR(B374="SE",B374="CE"),IF(F374&gt;=4,IF(D374&gt;=6,"H","A"),IF(F374&gt;=2,IF(D374&gt;=20,"H",IF(D374&lt;=5,"L","A")),IF(D374&lt;=19,"L","A"))),
     IF(OR(B374="ALI",B374="AIE"),IF(F374&gt;=6,IF(D374&gt;=20,"H","A"),IF(F374&gt;=2,IF(D374&gt;=51,"H",IF(D374&lt;=19,"L","A")),IF(D374&lt;=50,"L","A"))))))),
IF('Dados da OS'!$D$8=Parâmetros!$B$6,"Indicativa",
IF('Dados da OS'!$D$8=Parâmetros!$B$5,"PFS","")))</f>
        <v/>
      </c>
      <c r="M374" s="57">
        <f>IFERROR(VLOOKUP(C374,'Fatores de Impacto e INMs'!$A$3:$D$32,3,0),1)</f>
        <v>1</v>
      </c>
      <c r="N374" s="57">
        <f>IFERROR(VLOOKUP(C374,'Fatores de Impacto e INMs'!$A$3:$E$32,5,0),1)</f>
        <v>1</v>
      </c>
      <c r="O374" s="63" t="str">
        <f xml:space="preserve">
IF(OR('Dados da OS'!$D$8="Selecione o tipo da contagem",ISBLANK('Dados da OS'!$D$8),B374="INM",B374="N/A",ISBLANK(B374),ISBLANK(C374),N374="VF"),"-",
   IF('Dados da OS'!$D$8=Parâmetros!$B$3,
      IF(OR(ISBLANK(D374),ISBLANK(F374)),"-",
         IF(L374="L","Baixa",IF(L374="A","Média",IF(L374="H","Alta","-")))),
      IF('Dados da OS'!$D$8=Parâmetros!$B$4,
         IF(OR(B374="ALI",B374="AIE"),"Baixa",IF(OR(B374="EE",B374="SE",B374="CE"),"Média","-")),
         IF(OR('Dados da OS'!$D$8=Parâmetros!$B$5,'Dados da OS'!$D$8=Parâmetros!$B$6),"-"))))</f>
        <v>-</v>
      </c>
      <c r="P374" s="59" t="str">
        <f xml:space="preserve">
IF(OR(ISBLANK(B374),ISBLANK(C374),B374="N/A",ISBLANK('Dados da OS'!$D$8)),"",
   IF(OR('Dados da OS'!$D$8=Parâmetros!$B$3,'Dados da OS'!$D$8=Parâmetros!$B$4),
      IF(OR(AND(B374="INM",N374&lt;&gt;"VF"),AND(N374="VF",B374&lt;&gt;"INM")),"",
        IF(AND(B374="INM",N374="VF"),IF(ISBLANK(H374),"",M374*H374),
        IF('Dados da OS'!$D$8=Parâmetros!$B$4,
           IF(OR(B374="CE",B374="EE"),4,IF(B374="SE",5,IF(B374="ALI",7,IF(B374="AIE",5,"")))),
        IF('Dados da OS'!$D$8=Parâmetros!$B$3,
           IF(OR(ISBLANK(D374),ISBLANK(F374)),"",
              IF(B374="ALI",IF(L374="L",7,IF(L374="A",10,15)),
                 IF(B374="AIE",IF(L374="L",5,IF(L374="A",7,10)),
                    IF(B374="SE",IF(L374="L",4,IF(L374="A",5,7)),
                       IF(OR(B374="EE",B374="CE"),IF(L374="L",3,IF(L374="A",4,6)),""))))))))),
   IF('Dados da OS'!$D$8=Parâmetros!$B$5,
      IF(OR(AND(B374="INM",N374&lt;&gt;"VF"),AND(N374="VF",B374&lt;&gt;"INM")),"",
         IF(B374="INM",IF(N374="VF",M374*H374,""),
            IF(B374="PE",4.6,
            IF(B374="AL",7,"")))),
   IF('Dados da OS'!$D$8=Parâmetros!$B$6,
      IF(B374="ALI",35,IF(B374="AIE",15,"")),""))
    )
)</f>
        <v/>
      </c>
      <c r="Q374" s="60" t="str">
        <f t="shared" si="37"/>
        <v/>
      </c>
      <c r="R374" s="61"/>
      <c r="S374" s="62"/>
      <c r="T374" s="80" t="s">
        <v>21</v>
      </c>
      <c r="U374" s="81"/>
      <c r="V374" s="99"/>
      <c r="W374" s="55"/>
      <c r="X374" s="55"/>
      <c r="Y374" s="56"/>
      <c r="Z374" s="55"/>
      <c r="AA374" s="56"/>
      <c r="AB374" s="55"/>
      <c r="AC374" s="57" t="str">
        <f t="shared" si="38"/>
        <v/>
      </c>
      <c r="AD374" s="57" t="str">
        <f t="shared" si="39"/>
        <v/>
      </c>
      <c r="AE374" s="57" t="str">
        <f xml:space="preserve">
IF(OR('Dados da OS'!$D$8=Parâmetros!$B$3,'Dados da OS'!$D$8=Parâmetros!$B$4),
  IF(OR(ISBLANK(X374),ISBLANK(Z374)),
     IF(OR(V374="ALI",V374="AIE"),"L",IF(ISBLANK(V374),"","A")),
     IF(V374="EE",IF(Z374&gt;=3,IF(X374&gt;=5,"H","A"),
     IF(Z374&gt;=2,IF(X374&gt;=16,"H",IF(X374&lt;=4,"L","A")),IF(X374&lt;=15,"L","A"))),
     IF(OR(V374="SE",V374="CE"),IF(Z374&gt;=4,IF(X374&gt;=6,"H","A"),IF(Z374&gt;=2,IF(X374&gt;=20,"H",IF(X374&lt;=5,"L","A")),IF(X374&lt;=19,"L","A"))),
     IF(OR(V374="ALI",V374="AIE"),IF(Z374&gt;=6,IF(X374&gt;=20,"H","A"),IF(Z374&gt;=2,IF(X374&gt;=51,"H",IF(X374&lt;=19,"L","A")),IF(X374&lt;=50,"L","A"))))))),
IF('Dados da OS'!$D$8=Parâmetros!$B$6,"Indicativa",
IF('Dados da OS'!$D$8=Parâmetros!$B$5,"PFS","")))</f>
        <v/>
      </c>
      <c r="AF374" s="57">
        <f>IFERROR(VLOOKUP(W374,'Fatores de Impacto e INMs'!$A$3:$D$32,3,0),1)</f>
        <v>1</v>
      </c>
      <c r="AG374" s="57">
        <f>IFERROR(VLOOKUP(W374,'Fatores de Impacto e INMs'!$A$3:$E$32,5,0),1)</f>
        <v>1</v>
      </c>
      <c r="AH374" s="82" t="str">
        <f xml:space="preserve">
IF(OR('Dados da OS'!$D$8="Selecione o tipo da contagem",ISBLANK('Dados da OS'!$D$8),V374="INM",V374="N/A",ISBLANK(V374),ISBLANK(W374),AG374="VF"),"-",
   IF('Dados da OS'!$D$8=Parâmetros!$B$3,
      IF(OR(ISBLANK(X374),ISBLANK(Z374)),"-",
         IF(AE374="L","Baixa",IF(AE374="A","Média",IF(AE374="H","Alta","-")))),
      IF('Dados da OS'!$D$8=Parâmetros!$B$4,
         IF(OR(V374="ALI",V374="AIE"),"Baixa",IF(OR(V374="EE",V374="SE",V374="CE"),"Média","-")),
         IF(OR('Dados da OS'!$D$8=Parâmetros!$B$5,'Dados da OS'!$D$8=Parâmetros!$B$6),"-"))))</f>
        <v>-</v>
      </c>
      <c r="AI374" s="83" t="str">
        <f xml:space="preserve">
IF(OR(ISBLANK(V374),ISBLANK(U374),ISBLANK(W374),V374="N/A",ISBLANK('Dados da OS'!$D$8)),"",
   IF(OR('Dados da OS'!$D$8=Parâmetros!$B$3,'Dados da OS'!$D$8=Parâmetros!$B$4),
      IF(OR(AND(V374="INM",AG374&lt;&gt;"VF"),AND(AG374="VF",V374&lt;&gt;"INM")),"",
        IF(AND(V374="INM",AG374="VF"),IF(ISBLANK(AB374),"",AF374*AB374),
        IF('Dados da OS'!$D$8=Parâmetros!$B$4,
           IF(OR(V374="CE",V374="EE"),4,IF(V374="SE",5,IF(V374="ALI",7,IF(V374="AIE",5,"")))),
        IF('Dados da OS'!$D$8=Parâmetros!$B$3,
           IF(OR(ISBLANK(X374),ISBLANK(Z374)),"",
              IF(V374="ALI",IF(AE374="L",7,IF(AE374="A",10,15)),
                 IF(V374="AIE",IF(AE374="L",5,IF(AE374="A",7,10)),
                    IF(V374="SE",IF(AE374="L",4,IF(AE374="A",5,7)),
                       IF(OR(V374="EE",V374="CE"),IF(AE374="L",3,IF(AE374="A",4,6)),""))))))))),
   IF('Dados da OS'!$D$8=Parâmetros!$B$5,
      IF(OR(AND(V374="INM",AG374&lt;&gt;"VF"),AND(AG374="VF",V374&lt;&gt;"INM")),"",
         IF(V374="INM",IF(AG374="VF",AF374*AB374,""),
            IF(V374="PE",4.6,
            IF(V374="AL",7,"")))),
   IF('Dados da OS'!$D$8=Parâmetros!$B$6,
      IF(V374="ALI",35,IF(V374="AIE",15,"")),""))
    )
)</f>
        <v/>
      </c>
      <c r="AJ374" s="82" t="str">
        <f t="shared" si="40"/>
        <v/>
      </c>
      <c r="AK374" s="84"/>
      <c r="AL374" s="85" t="s">
        <v>21</v>
      </c>
      <c r="AM374" s="86"/>
      <c r="AN374" s="85"/>
      <c r="AO374" s="87"/>
      <c r="AP374" s="85"/>
      <c r="AQ374" s="86"/>
      <c r="AR374" s="85"/>
    </row>
    <row r="375" spans="1:44" ht="15.75" customHeight="1">
      <c r="A375" s="54"/>
      <c r="B375" s="100"/>
      <c r="C375" s="55"/>
      <c r="D375" s="55"/>
      <c r="E375" s="56"/>
      <c r="F375" s="55"/>
      <c r="G375" s="56"/>
      <c r="H375" s="55"/>
      <c r="I375" s="64"/>
      <c r="J375" s="57" t="str">
        <f t="shared" si="41"/>
        <v/>
      </c>
      <c r="K375" s="57" t="str">
        <f t="shared" si="42"/>
        <v/>
      </c>
      <c r="L375" s="57" t="str">
        <f xml:space="preserve">
IF(OR('Dados da OS'!$D$8=Parâmetros!$B$3,'Dados da OS'!$D$8=Parâmetros!$B$4),
  IF(OR(ISBLANK(D375),ISBLANK(F375)),
     IF(OR(B375="ALI",B375="AIE"),"L",IF(ISBLANK(B375),"","A")),
     IF(B375="EE",IF(F375&gt;=3,IF(D375&gt;=5,"H","A"),
     IF(F375&gt;=2,IF(D375&gt;=16,"H",IF(D375&lt;=4,"L","A")),IF(D375&lt;=15,"L","A"))),
     IF(OR(B375="SE",B375="CE"),IF(F375&gt;=4,IF(D375&gt;=6,"H","A"),IF(F375&gt;=2,IF(D375&gt;=20,"H",IF(D375&lt;=5,"L","A")),IF(D375&lt;=19,"L","A"))),
     IF(OR(B375="ALI",B375="AIE"),IF(F375&gt;=6,IF(D375&gt;=20,"H","A"),IF(F375&gt;=2,IF(D375&gt;=51,"H",IF(D375&lt;=19,"L","A")),IF(D375&lt;=50,"L","A"))))))),
IF('Dados da OS'!$D$8=Parâmetros!$B$6,"Indicativa",
IF('Dados da OS'!$D$8=Parâmetros!$B$5,"PFS","")))</f>
        <v/>
      </c>
      <c r="M375" s="57">
        <f>IFERROR(VLOOKUP(C375,'Fatores de Impacto e INMs'!$A$3:$D$32,3,0),1)</f>
        <v>1</v>
      </c>
      <c r="N375" s="57">
        <f>IFERROR(VLOOKUP(C375,'Fatores de Impacto e INMs'!$A$3:$E$32,5,0),1)</f>
        <v>1</v>
      </c>
      <c r="O375" s="63" t="str">
        <f xml:space="preserve">
IF(OR('Dados da OS'!$D$8="Selecione o tipo da contagem",ISBLANK('Dados da OS'!$D$8),B375="INM",B375="N/A",ISBLANK(B375),ISBLANK(C375),N375="VF"),"-",
   IF('Dados da OS'!$D$8=Parâmetros!$B$3,
      IF(OR(ISBLANK(D375),ISBLANK(F375)),"-",
         IF(L375="L","Baixa",IF(L375="A","Média",IF(L375="H","Alta","-")))),
      IF('Dados da OS'!$D$8=Parâmetros!$B$4,
         IF(OR(B375="ALI",B375="AIE"),"Baixa",IF(OR(B375="EE",B375="SE",B375="CE"),"Média","-")),
         IF(OR('Dados da OS'!$D$8=Parâmetros!$B$5,'Dados da OS'!$D$8=Parâmetros!$B$6),"-"))))</f>
        <v>-</v>
      </c>
      <c r="P375" s="59" t="str">
        <f xml:space="preserve">
IF(OR(ISBLANK(B375),ISBLANK(C375),B375="N/A",ISBLANK('Dados da OS'!$D$8)),"",
   IF(OR('Dados da OS'!$D$8=Parâmetros!$B$3,'Dados da OS'!$D$8=Parâmetros!$B$4),
      IF(OR(AND(B375="INM",N375&lt;&gt;"VF"),AND(N375="VF",B375&lt;&gt;"INM")),"",
        IF(AND(B375="INM",N375="VF"),IF(ISBLANK(H375),"",M375*H375),
        IF('Dados da OS'!$D$8=Parâmetros!$B$4,
           IF(OR(B375="CE",B375="EE"),4,IF(B375="SE",5,IF(B375="ALI",7,IF(B375="AIE",5,"")))),
        IF('Dados da OS'!$D$8=Parâmetros!$B$3,
           IF(OR(ISBLANK(D375),ISBLANK(F375)),"",
              IF(B375="ALI",IF(L375="L",7,IF(L375="A",10,15)),
                 IF(B375="AIE",IF(L375="L",5,IF(L375="A",7,10)),
                    IF(B375="SE",IF(L375="L",4,IF(L375="A",5,7)),
                       IF(OR(B375="EE",B375="CE"),IF(L375="L",3,IF(L375="A",4,6)),""))))))))),
   IF('Dados da OS'!$D$8=Parâmetros!$B$5,
      IF(OR(AND(B375="INM",N375&lt;&gt;"VF"),AND(N375="VF",B375&lt;&gt;"INM")),"",
         IF(B375="INM",IF(N375="VF",M375*H375,""),
            IF(B375="PE",4.6,
            IF(B375="AL",7,"")))),
   IF('Dados da OS'!$D$8=Parâmetros!$B$6,
      IF(B375="ALI",35,IF(B375="AIE",15,"")),""))
    )
)</f>
        <v/>
      </c>
      <c r="Q375" s="60" t="str">
        <f t="shared" si="37"/>
        <v/>
      </c>
      <c r="R375" s="61"/>
      <c r="S375" s="62"/>
      <c r="T375" s="80" t="s">
        <v>21</v>
      </c>
      <c r="U375" s="81"/>
      <c r="V375" s="99"/>
      <c r="W375" s="55"/>
      <c r="X375" s="55"/>
      <c r="Y375" s="56"/>
      <c r="Z375" s="55"/>
      <c r="AA375" s="56"/>
      <c r="AB375" s="55"/>
      <c r="AC375" s="57" t="str">
        <f t="shared" si="38"/>
        <v/>
      </c>
      <c r="AD375" s="57" t="str">
        <f t="shared" si="39"/>
        <v/>
      </c>
      <c r="AE375" s="57" t="str">
        <f xml:space="preserve">
IF(OR('Dados da OS'!$D$8=Parâmetros!$B$3,'Dados da OS'!$D$8=Parâmetros!$B$4),
  IF(OR(ISBLANK(X375),ISBLANK(Z375)),
     IF(OR(V375="ALI",V375="AIE"),"L",IF(ISBLANK(V375),"","A")),
     IF(V375="EE",IF(Z375&gt;=3,IF(X375&gt;=5,"H","A"),
     IF(Z375&gt;=2,IF(X375&gt;=16,"H",IF(X375&lt;=4,"L","A")),IF(X375&lt;=15,"L","A"))),
     IF(OR(V375="SE",V375="CE"),IF(Z375&gt;=4,IF(X375&gt;=6,"H","A"),IF(Z375&gt;=2,IF(X375&gt;=20,"H",IF(X375&lt;=5,"L","A")),IF(X375&lt;=19,"L","A"))),
     IF(OR(V375="ALI",V375="AIE"),IF(Z375&gt;=6,IF(X375&gt;=20,"H","A"),IF(Z375&gt;=2,IF(X375&gt;=51,"H",IF(X375&lt;=19,"L","A")),IF(X375&lt;=50,"L","A"))))))),
IF('Dados da OS'!$D$8=Parâmetros!$B$6,"Indicativa",
IF('Dados da OS'!$D$8=Parâmetros!$B$5,"PFS","")))</f>
        <v/>
      </c>
      <c r="AF375" s="57">
        <f>IFERROR(VLOOKUP(W375,'Fatores de Impacto e INMs'!$A$3:$D$32,3,0),1)</f>
        <v>1</v>
      </c>
      <c r="AG375" s="57">
        <f>IFERROR(VLOOKUP(W375,'Fatores de Impacto e INMs'!$A$3:$E$32,5,0),1)</f>
        <v>1</v>
      </c>
      <c r="AH375" s="82" t="str">
        <f xml:space="preserve">
IF(OR('Dados da OS'!$D$8="Selecione o tipo da contagem",ISBLANK('Dados da OS'!$D$8),V375="INM",V375="N/A",ISBLANK(V375),ISBLANK(W375),AG375="VF"),"-",
   IF('Dados da OS'!$D$8=Parâmetros!$B$3,
      IF(OR(ISBLANK(X375),ISBLANK(Z375)),"-",
         IF(AE375="L","Baixa",IF(AE375="A","Média",IF(AE375="H","Alta","-")))),
      IF('Dados da OS'!$D$8=Parâmetros!$B$4,
         IF(OR(V375="ALI",V375="AIE"),"Baixa",IF(OR(V375="EE",V375="SE",V375="CE"),"Média","-")),
         IF(OR('Dados da OS'!$D$8=Parâmetros!$B$5,'Dados da OS'!$D$8=Parâmetros!$B$6),"-"))))</f>
        <v>-</v>
      </c>
      <c r="AI375" s="83" t="str">
        <f xml:space="preserve">
IF(OR(ISBLANK(V375),ISBLANK(U375),ISBLANK(W375),V375="N/A",ISBLANK('Dados da OS'!$D$8)),"",
   IF(OR('Dados da OS'!$D$8=Parâmetros!$B$3,'Dados da OS'!$D$8=Parâmetros!$B$4),
      IF(OR(AND(V375="INM",AG375&lt;&gt;"VF"),AND(AG375="VF",V375&lt;&gt;"INM")),"",
        IF(AND(V375="INM",AG375="VF"),IF(ISBLANK(AB375),"",AF375*AB375),
        IF('Dados da OS'!$D$8=Parâmetros!$B$4,
           IF(OR(V375="CE",V375="EE"),4,IF(V375="SE",5,IF(V375="ALI",7,IF(V375="AIE",5,"")))),
        IF('Dados da OS'!$D$8=Parâmetros!$B$3,
           IF(OR(ISBLANK(X375),ISBLANK(Z375)),"",
              IF(V375="ALI",IF(AE375="L",7,IF(AE375="A",10,15)),
                 IF(V375="AIE",IF(AE375="L",5,IF(AE375="A",7,10)),
                    IF(V375="SE",IF(AE375="L",4,IF(AE375="A",5,7)),
                       IF(OR(V375="EE",V375="CE"),IF(AE375="L",3,IF(AE375="A",4,6)),""))))))))),
   IF('Dados da OS'!$D$8=Parâmetros!$B$5,
      IF(OR(AND(V375="INM",AG375&lt;&gt;"VF"),AND(AG375="VF",V375&lt;&gt;"INM")),"",
         IF(V375="INM",IF(AG375="VF",AF375*AB375,""),
            IF(V375="PE",4.6,
            IF(V375="AL",7,"")))),
   IF('Dados da OS'!$D$8=Parâmetros!$B$6,
      IF(V375="ALI",35,IF(V375="AIE",15,"")),""))
    )
)</f>
        <v/>
      </c>
      <c r="AJ375" s="82" t="str">
        <f t="shared" si="40"/>
        <v/>
      </c>
      <c r="AK375" s="84"/>
      <c r="AL375" s="85" t="s">
        <v>21</v>
      </c>
      <c r="AM375" s="86"/>
      <c r="AN375" s="85"/>
      <c r="AO375" s="87"/>
      <c r="AP375" s="85"/>
      <c r="AQ375" s="86"/>
      <c r="AR375" s="85"/>
    </row>
    <row r="376" spans="1:44" ht="15.75" customHeight="1">
      <c r="A376" s="54"/>
      <c r="B376" s="100"/>
      <c r="C376" s="55"/>
      <c r="D376" s="55"/>
      <c r="E376" s="56"/>
      <c r="F376" s="55"/>
      <c r="G376" s="56"/>
      <c r="H376" s="55"/>
      <c r="I376" s="64"/>
      <c r="J376" s="57" t="str">
        <f t="shared" si="41"/>
        <v/>
      </c>
      <c r="K376" s="57" t="str">
        <f t="shared" si="42"/>
        <v/>
      </c>
      <c r="L376" s="57" t="str">
        <f xml:space="preserve">
IF(OR('Dados da OS'!$D$8=Parâmetros!$B$3,'Dados da OS'!$D$8=Parâmetros!$B$4),
  IF(OR(ISBLANK(D376),ISBLANK(F376)),
     IF(OR(B376="ALI",B376="AIE"),"L",IF(ISBLANK(B376),"","A")),
     IF(B376="EE",IF(F376&gt;=3,IF(D376&gt;=5,"H","A"),
     IF(F376&gt;=2,IF(D376&gt;=16,"H",IF(D376&lt;=4,"L","A")),IF(D376&lt;=15,"L","A"))),
     IF(OR(B376="SE",B376="CE"),IF(F376&gt;=4,IF(D376&gt;=6,"H","A"),IF(F376&gt;=2,IF(D376&gt;=20,"H",IF(D376&lt;=5,"L","A")),IF(D376&lt;=19,"L","A"))),
     IF(OR(B376="ALI",B376="AIE"),IF(F376&gt;=6,IF(D376&gt;=20,"H","A"),IF(F376&gt;=2,IF(D376&gt;=51,"H",IF(D376&lt;=19,"L","A")),IF(D376&lt;=50,"L","A"))))))),
IF('Dados da OS'!$D$8=Parâmetros!$B$6,"Indicativa",
IF('Dados da OS'!$D$8=Parâmetros!$B$5,"PFS","")))</f>
        <v/>
      </c>
      <c r="M376" s="57">
        <f>IFERROR(VLOOKUP(C376,'Fatores de Impacto e INMs'!$A$3:$D$32,3,0),1)</f>
        <v>1</v>
      </c>
      <c r="N376" s="57">
        <f>IFERROR(VLOOKUP(C376,'Fatores de Impacto e INMs'!$A$3:$E$32,5,0),1)</f>
        <v>1</v>
      </c>
      <c r="O376" s="63" t="str">
        <f xml:space="preserve">
IF(OR('Dados da OS'!$D$8="Selecione o tipo da contagem",ISBLANK('Dados da OS'!$D$8),B376="INM",B376="N/A",ISBLANK(B376),ISBLANK(C376),N376="VF"),"-",
   IF('Dados da OS'!$D$8=Parâmetros!$B$3,
      IF(OR(ISBLANK(D376),ISBLANK(F376)),"-",
         IF(L376="L","Baixa",IF(L376="A","Média",IF(L376="H","Alta","-")))),
      IF('Dados da OS'!$D$8=Parâmetros!$B$4,
         IF(OR(B376="ALI",B376="AIE"),"Baixa",IF(OR(B376="EE",B376="SE",B376="CE"),"Média","-")),
         IF(OR('Dados da OS'!$D$8=Parâmetros!$B$5,'Dados da OS'!$D$8=Parâmetros!$B$6),"-"))))</f>
        <v>-</v>
      </c>
      <c r="P376" s="59" t="str">
        <f xml:space="preserve">
IF(OR(ISBLANK(B376),ISBLANK(C376),B376="N/A",ISBLANK('Dados da OS'!$D$8)),"",
   IF(OR('Dados da OS'!$D$8=Parâmetros!$B$3,'Dados da OS'!$D$8=Parâmetros!$B$4),
      IF(OR(AND(B376="INM",N376&lt;&gt;"VF"),AND(N376="VF",B376&lt;&gt;"INM")),"",
        IF(AND(B376="INM",N376="VF"),IF(ISBLANK(H376),"",M376*H376),
        IF('Dados da OS'!$D$8=Parâmetros!$B$4,
           IF(OR(B376="CE",B376="EE"),4,IF(B376="SE",5,IF(B376="ALI",7,IF(B376="AIE",5,"")))),
        IF('Dados da OS'!$D$8=Parâmetros!$B$3,
           IF(OR(ISBLANK(D376),ISBLANK(F376)),"",
              IF(B376="ALI",IF(L376="L",7,IF(L376="A",10,15)),
                 IF(B376="AIE",IF(L376="L",5,IF(L376="A",7,10)),
                    IF(B376="SE",IF(L376="L",4,IF(L376="A",5,7)),
                       IF(OR(B376="EE",B376="CE"),IF(L376="L",3,IF(L376="A",4,6)),""))))))))),
   IF('Dados da OS'!$D$8=Parâmetros!$B$5,
      IF(OR(AND(B376="INM",N376&lt;&gt;"VF"),AND(N376="VF",B376&lt;&gt;"INM")),"",
         IF(B376="INM",IF(N376="VF",M376*H376,""),
            IF(B376="PE",4.6,
            IF(B376="AL",7,"")))),
   IF('Dados da OS'!$D$8=Parâmetros!$B$6,
      IF(B376="ALI",35,IF(B376="AIE",15,"")),""))
    )
)</f>
        <v/>
      </c>
      <c r="Q376" s="60" t="str">
        <f t="shared" si="37"/>
        <v/>
      </c>
      <c r="R376" s="61"/>
      <c r="S376" s="62"/>
      <c r="T376" s="80" t="s">
        <v>21</v>
      </c>
      <c r="U376" s="81"/>
      <c r="V376" s="99"/>
      <c r="W376" s="55"/>
      <c r="X376" s="55"/>
      <c r="Y376" s="56"/>
      <c r="Z376" s="55"/>
      <c r="AA376" s="56"/>
      <c r="AB376" s="55"/>
      <c r="AC376" s="57" t="str">
        <f t="shared" si="38"/>
        <v/>
      </c>
      <c r="AD376" s="57" t="str">
        <f t="shared" si="39"/>
        <v/>
      </c>
      <c r="AE376" s="57" t="str">
        <f xml:space="preserve">
IF(OR('Dados da OS'!$D$8=Parâmetros!$B$3,'Dados da OS'!$D$8=Parâmetros!$B$4),
  IF(OR(ISBLANK(X376),ISBLANK(Z376)),
     IF(OR(V376="ALI",V376="AIE"),"L",IF(ISBLANK(V376),"","A")),
     IF(V376="EE",IF(Z376&gt;=3,IF(X376&gt;=5,"H","A"),
     IF(Z376&gt;=2,IF(X376&gt;=16,"H",IF(X376&lt;=4,"L","A")),IF(X376&lt;=15,"L","A"))),
     IF(OR(V376="SE",V376="CE"),IF(Z376&gt;=4,IF(X376&gt;=6,"H","A"),IF(Z376&gt;=2,IF(X376&gt;=20,"H",IF(X376&lt;=5,"L","A")),IF(X376&lt;=19,"L","A"))),
     IF(OR(V376="ALI",V376="AIE"),IF(Z376&gt;=6,IF(X376&gt;=20,"H","A"),IF(Z376&gt;=2,IF(X376&gt;=51,"H",IF(X376&lt;=19,"L","A")),IF(X376&lt;=50,"L","A"))))))),
IF('Dados da OS'!$D$8=Parâmetros!$B$6,"Indicativa",
IF('Dados da OS'!$D$8=Parâmetros!$B$5,"PFS","")))</f>
        <v/>
      </c>
      <c r="AF376" s="57">
        <f>IFERROR(VLOOKUP(W376,'Fatores de Impacto e INMs'!$A$3:$D$32,3,0),1)</f>
        <v>1</v>
      </c>
      <c r="AG376" s="57">
        <f>IFERROR(VLOOKUP(W376,'Fatores de Impacto e INMs'!$A$3:$E$32,5,0),1)</f>
        <v>1</v>
      </c>
      <c r="AH376" s="82" t="str">
        <f xml:space="preserve">
IF(OR('Dados da OS'!$D$8="Selecione o tipo da contagem",ISBLANK('Dados da OS'!$D$8),V376="INM",V376="N/A",ISBLANK(V376),ISBLANK(W376),AG376="VF"),"-",
   IF('Dados da OS'!$D$8=Parâmetros!$B$3,
      IF(OR(ISBLANK(X376),ISBLANK(Z376)),"-",
         IF(AE376="L","Baixa",IF(AE376="A","Média",IF(AE376="H","Alta","-")))),
      IF('Dados da OS'!$D$8=Parâmetros!$B$4,
         IF(OR(V376="ALI",V376="AIE"),"Baixa",IF(OR(V376="EE",V376="SE",V376="CE"),"Média","-")),
         IF(OR('Dados da OS'!$D$8=Parâmetros!$B$5,'Dados da OS'!$D$8=Parâmetros!$B$6),"-"))))</f>
        <v>-</v>
      </c>
      <c r="AI376" s="83" t="str">
        <f xml:space="preserve">
IF(OR(ISBLANK(V376),ISBLANK(U376),ISBLANK(W376),V376="N/A",ISBLANK('Dados da OS'!$D$8)),"",
   IF(OR('Dados da OS'!$D$8=Parâmetros!$B$3,'Dados da OS'!$D$8=Parâmetros!$B$4),
      IF(OR(AND(V376="INM",AG376&lt;&gt;"VF"),AND(AG376="VF",V376&lt;&gt;"INM")),"",
        IF(AND(V376="INM",AG376="VF"),IF(ISBLANK(AB376),"",AF376*AB376),
        IF('Dados da OS'!$D$8=Parâmetros!$B$4,
           IF(OR(V376="CE",V376="EE"),4,IF(V376="SE",5,IF(V376="ALI",7,IF(V376="AIE",5,"")))),
        IF('Dados da OS'!$D$8=Parâmetros!$B$3,
           IF(OR(ISBLANK(X376),ISBLANK(Z376)),"",
              IF(V376="ALI",IF(AE376="L",7,IF(AE376="A",10,15)),
                 IF(V376="AIE",IF(AE376="L",5,IF(AE376="A",7,10)),
                    IF(V376="SE",IF(AE376="L",4,IF(AE376="A",5,7)),
                       IF(OR(V376="EE",V376="CE"),IF(AE376="L",3,IF(AE376="A",4,6)),""))))))))),
   IF('Dados da OS'!$D$8=Parâmetros!$B$5,
      IF(OR(AND(V376="INM",AG376&lt;&gt;"VF"),AND(AG376="VF",V376&lt;&gt;"INM")),"",
         IF(V376="INM",IF(AG376="VF",AF376*AB376,""),
            IF(V376="PE",4.6,
            IF(V376="AL",7,"")))),
   IF('Dados da OS'!$D$8=Parâmetros!$B$6,
      IF(V376="ALI",35,IF(V376="AIE",15,"")),""))
    )
)</f>
        <v/>
      </c>
      <c r="AJ376" s="82" t="str">
        <f t="shared" si="40"/>
        <v/>
      </c>
      <c r="AK376" s="84"/>
      <c r="AL376" s="85" t="s">
        <v>21</v>
      </c>
      <c r="AM376" s="86"/>
      <c r="AN376" s="85"/>
      <c r="AO376" s="87"/>
      <c r="AP376" s="85"/>
      <c r="AQ376" s="86"/>
      <c r="AR376" s="85"/>
    </row>
    <row r="377" spans="1:44" ht="15.75" customHeight="1">
      <c r="A377" s="54"/>
      <c r="B377" s="100"/>
      <c r="C377" s="55"/>
      <c r="D377" s="55"/>
      <c r="E377" s="56"/>
      <c r="F377" s="55"/>
      <c r="G377" s="56"/>
      <c r="H377" s="55"/>
      <c r="I377" s="64"/>
      <c r="J377" s="57" t="str">
        <f t="shared" si="41"/>
        <v/>
      </c>
      <c r="K377" s="57" t="str">
        <f t="shared" si="42"/>
        <v/>
      </c>
      <c r="L377" s="57" t="str">
        <f xml:space="preserve">
IF(OR('Dados da OS'!$D$8=Parâmetros!$B$3,'Dados da OS'!$D$8=Parâmetros!$B$4),
  IF(OR(ISBLANK(D377),ISBLANK(F377)),
     IF(OR(B377="ALI",B377="AIE"),"L",IF(ISBLANK(B377),"","A")),
     IF(B377="EE",IF(F377&gt;=3,IF(D377&gt;=5,"H","A"),
     IF(F377&gt;=2,IF(D377&gt;=16,"H",IF(D377&lt;=4,"L","A")),IF(D377&lt;=15,"L","A"))),
     IF(OR(B377="SE",B377="CE"),IF(F377&gt;=4,IF(D377&gt;=6,"H","A"),IF(F377&gt;=2,IF(D377&gt;=20,"H",IF(D377&lt;=5,"L","A")),IF(D377&lt;=19,"L","A"))),
     IF(OR(B377="ALI",B377="AIE"),IF(F377&gt;=6,IF(D377&gt;=20,"H","A"),IF(F377&gt;=2,IF(D377&gt;=51,"H",IF(D377&lt;=19,"L","A")),IF(D377&lt;=50,"L","A"))))))),
IF('Dados da OS'!$D$8=Parâmetros!$B$6,"Indicativa",
IF('Dados da OS'!$D$8=Parâmetros!$B$5,"PFS","")))</f>
        <v/>
      </c>
      <c r="M377" s="57">
        <f>IFERROR(VLOOKUP(C377,'Fatores de Impacto e INMs'!$A$3:$D$32,3,0),1)</f>
        <v>1</v>
      </c>
      <c r="N377" s="57">
        <f>IFERROR(VLOOKUP(C377,'Fatores de Impacto e INMs'!$A$3:$E$32,5,0),1)</f>
        <v>1</v>
      </c>
      <c r="O377" s="63" t="str">
        <f xml:space="preserve">
IF(OR('Dados da OS'!$D$8="Selecione o tipo da contagem",ISBLANK('Dados da OS'!$D$8),B377="INM",B377="N/A",ISBLANK(B377),ISBLANK(C377),N377="VF"),"-",
   IF('Dados da OS'!$D$8=Parâmetros!$B$3,
      IF(OR(ISBLANK(D377),ISBLANK(F377)),"-",
         IF(L377="L","Baixa",IF(L377="A","Média",IF(L377="H","Alta","-")))),
      IF('Dados da OS'!$D$8=Parâmetros!$B$4,
         IF(OR(B377="ALI",B377="AIE"),"Baixa",IF(OR(B377="EE",B377="SE",B377="CE"),"Média","-")),
         IF(OR('Dados da OS'!$D$8=Parâmetros!$B$5,'Dados da OS'!$D$8=Parâmetros!$B$6),"-"))))</f>
        <v>-</v>
      </c>
      <c r="P377" s="59" t="str">
        <f xml:space="preserve">
IF(OR(ISBLANK(B377),ISBLANK(C377),B377="N/A",ISBLANK('Dados da OS'!$D$8)),"",
   IF(OR('Dados da OS'!$D$8=Parâmetros!$B$3,'Dados da OS'!$D$8=Parâmetros!$B$4),
      IF(OR(AND(B377="INM",N377&lt;&gt;"VF"),AND(N377="VF",B377&lt;&gt;"INM")),"",
        IF(AND(B377="INM",N377="VF"),IF(ISBLANK(H377),"",M377*H377),
        IF('Dados da OS'!$D$8=Parâmetros!$B$4,
           IF(OR(B377="CE",B377="EE"),4,IF(B377="SE",5,IF(B377="ALI",7,IF(B377="AIE",5,"")))),
        IF('Dados da OS'!$D$8=Parâmetros!$B$3,
           IF(OR(ISBLANK(D377),ISBLANK(F377)),"",
              IF(B377="ALI",IF(L377="L",7,IF(L377="A",10,15)),
                 IF(B377="AIE",IF(L377="L",5,IF(L377="A",7,10)),
                    IF(B377="SE",IF(L377="L",4,IF(L377="A",5,7)),
                       IF(OR(B377="EE",B377="CE"),IF(L377="L",3,IF(L377="A",4,6)),""))))))))),
   IF('Dados da OS'!$D$8=Parâmetros!$B$5,
      IF(OR(AND(B377="INM",N377&lt;&gt;"VF"),AND(N377="VF",B377&lt;&gt;"INM")),"",
         IF(B377="INM",IF(N377="VF",M377*H377,""),
            IF(B377="PE",4.6,
            IF(B377="AL",7,"")))),
   IF('Dados da OS'!$D$8=Parâmetros!$B$6,
      IF(B377="ALI",35,IF(B377="AIE",15,"")),""))
    )
)</f>
        <v/>
      </c>
      <c r="Q377" s="60" t="str">
        <f t="shared" si="37"/>
        <v/>
      </c>
      <c r="R377" s="61"/>
      <c r="S377" s="62"/>
      <c r="T377" s="80" t="s">
        <v>21</v>
      </c>
      <c r="U377" s="81"/>
      <c r="V377" s="99"/>
      <c r="W377" s="55"/>
      <c r="X377" s="55"/>
      <c r="Y377" s="56"/>
      <c r="Z377" s="55"/>
      <c r="AA377" s="56"/>
      <c r="AB377" s="55"/>
      <c r="AC377" s="57" t="str">
        <f t="shared" si="38"/>
        <v/>
      </c>
      <c r="AD377" s="57" t="str">
        <f t="shared" si="39"/>
        <v/>
      </c>
      <c r="AE377" s="57" t="str">
        <f xml:space="preserve">
IF(OR('Dados da OS'!$D$8=Parâmetros!$B$3,'Dados da OS'!$D$8=Parâmetros!$B$4),
  IF(OR(ISBLANK(X377),ISBLANK(Z377)),
     IF(OR(V377="ALI",V377="AIE"),"L",IF(ISBLANK(V377),"","A")),
     IF(V377="EE",IF(Z377&gt;=3,IF(X377&gt;=5,"H","A"),
     IF(Z377&gt;=2,IF(X377&gt;=16,"H",IF(X377&lt;=4,"L","A")),IF(X377&lt;=15,"L","A"))),
     IF(OR(V377="SE",V377="CE"),IF(Z377&gt;=4,IF(X377&gt;=6,"H","A"),IF(Z377&gt;=2,IF(X377&gt;=20,"H",IF(X377&lt;=5,"L","A")),IF(X377&lt;=19,"L","A"))),
     IF(OR(V377="ALI",V377="AIE"),IF(Z377&gt;=6,IF(X377&gt;=20,"H","A"),IF(Z377&gt;=2,IF(X377&gt;=51,"H",IF(X377&lt;=19,"L","A")),IF(X377&lt;=50,"L","A"))))))),
IF('Dados da OS'!$D$8=Parâmetros!$B$6,"Indicativa",
IF('Dados da OS'!$D$8=Parâmetros!$B$5,"PFS","")))</f>
        <v/>
      </c>
      <c r="AF377" s="57">
        <f>IFERROR(VLOOKUP(W377,'Fatores de Impacto e INMs'!$A$3:$D$32,3,0),1)</f>
        <v>1</v>
      </c>
      <c r="AG377" s="57">
        <f>IFERROR(VLOOKUP(W377,'Fatores de Impacto e INMs'!$A$3:$E$32,5,0),1)</f>
        <v>1</v>
      </c>
      <c r="AH377" s="82" t="str">
        <f xml:space="preserve">
IF(OR('Dados da OS'!$D$8="Selecione o tipo da contagem",ISBLANK('Dados da OS'!$D$8),V377="INM",V377="N/A",ISBLANK(V377),ISBLANK(W377),AG377="VF"),"-",
   IF('Dados da OS'!$D$8=Parâmetros!$B$3,
      IF(OR(ISBLANK(X377),ISBLANK(Z377)),"-",
         IF(AE377="L","Baixa",IF(AE377="A","Média",IF(AE377="H","Alta","-")))),
      IF('Dados da OS'!$D$8=Parâmetros!$B$4,
         IF(OR(V377="ALI",V377="AIE"),"Baixa",IF(OR(V377="EE",V377="SE",V377="CE"),"Média","-")),
         IF(OR('Dados da OS'!$D$8=Parâmetros!$B$5,'Dados da OS'!$D$8=Parâmetros!$B$6),"-"))))</f>
        <v>-</v>
      </c>
      <c r="AI377" s="83" t="str">
        <f xml:space="preserve">
IF(OR(ISBLANK(V377),ISBLANK(U377),ISBLANK(W377),V377="N/A",ISBLANK('Dados da OS'!$D$8)),"",
   IF(OR('Dados da OS'!$D$8=Parâmetros!$B$3,'Dados da OS'!$D$8=Parâmetros!$B$4),
      IF(OR(AND(V377="INM",AG377&lt;&gt;"VF"),AND(AG377="VF",V377&lt;&gt;"INM")),"",
        IF(AND(V377="INM",AG377="VF"),IF(ISBLANK(AB377),"",AF377*AB377),
        IF('Dados da OS'!$D$8=Parâmetros!$B$4,
           IF(OR(V377="CE",V377="EE"),4,IF(V377="SE",5,IF(V377="ALI",7,IF(V377="AIE",5,"")))),
        IF('Dados da OS'!$D$8=Parâmetros!$B$3,
           IF(OR(ISBLANK(X377),ISBLANK(Z377)),"",
              IF(V377="ALI",IF(AE377="L",7,IF(AE377="A",10,15)),
                 IF(V377="AIE",IF(AE377="L",5,IF(AE377="A",7,10)),
                    IF(V377="SE",IF(AE377="L",4,IF(AE377="A",5,7)),
                       IF(OR(V377="EE",V377="CE"),IF(AE377="L",3,IF(AE377="A",4,6)),""))))))))),
   IF('Dados da OS'!$D$8=Parâmetros!$B$5,
      IF(OR(AND(V377="INM",AG377&lt;&gt;"VF"),AND(AG377="VF",V377&lt;&gt;"INM")),"",
         IF(V377="INM",IF(AG377="VF",AF377*AB377,""),
            IF(V377="PE",4.6,
            IF(V377="AL",7,"")))),
   IF('Dados da OS'!$D$8=Parâmetros!$B$6,
      IF(V377="ALI",35,IF(V377="AIE",15,"")),""))
    )
)</f>
        <v/>
      </c>
      <c r="AJ377" s="82" t="str">
        <f t="shared" si="40"/>
        <v/>
      </c>
      <c r="AK377" s="84"/>
      <c r="AL377" s="85" t="s">
        <v>21</v>
      </c>
      <c r="AM377" s="86"/>
      <c r="AN377" s="85"/>
      <c r="AO377" s="87"/>
      <c r="AP377" s="85"/>
      <c r="AQ377" s="86"/>
      <c r="AR377" s="85"/>
    </row>
    <row r="378" spans="1:44" ht="15.75" customHeight="1">
      <c r="A378" s="54"/>
      <c r="B378" s="100"/>
      <c r="C378" s="55"/>
      <c r="D378" s="55"/>
      <c r="E378" s="56"/>
      <c r="F378" s="55"/>
      <c r="G378" s="56"/>
      <c r="H378" s="55"/>
      <c r="I378" s="64"/>
      <c r="J378" s="57" t="str">
        <f t="shared" si="41"/>
        <v/>
      </c>
      <c r="K378" s="57" t="str">
        <f t="shared" si="42"/>
        <v/>
      </c>
      <c r="L378" s="57" t="str">
        <f xml:space="preserve">
IF(OR('Dados da OS'!$D$8=Parâmetros!$B$3,'Dados da OS'!$D$8=Parâmetros!$B$4),
  IF(OR(ISBLANK(D378),ISBLANK(F378)),
     IF(OR(B378="ALI",B378="AIE"),"L",IF(ISBLANK(B378),"","A")),
     IF(B378="EE",IF(F378&gt;=3,IF(D378&gt;=5,"H","A"),
     IF(F378&gt;=2,IF(D378&gt;=16,"H",IF(D378&lt;=4,"L","A")),IF(D378&lt;=15,"L","A"))),
     IF(OR(B378="SE",B378="CE"),IF(F378&gt;=4,IF(D378&gt;=6,"H","A"),IF(F378&gt;=2,IF(D378&gt;=20,"H",IF(D378&lt;=5,"L","A")),IF(D378&lt;=19,"L","A"))),
     IF(OR(B378="ALI",B378="AIE"),IF(F378&gt;=6,IF(D378&gt;=20,"H","A"),IF(F378&gt;=2,IF(D378&gt;=51,"H",IF(D378&lt;=19,"L","A")),IF(D378&lt;=50,"L","A"))))))),
IF('Dados da OS'!$D$8=Parâmetros!$B$6,"Indicativa",
IF('Dados da OS'!$D$8=Parâmetros!$B$5,"PFS","")))</f>
        <v/>
      </c>
      <c r="M378" s="57">
        <f>IFERROR(VLOOKUP(C378,'Fatores de Impacto e INMs'!$A$3:$D$32,3,0),1)</f>
        <v>1</v>
      </c>
      <c r="N378" s="57">
        <f>IFERROR(VLOOKUP(C378,'Fatores de Impacto e INMs'!$A$3:$E$32,5,0),1)</f>
        <v>1</v>
      </c>
      <c r="O378" s="63" t="str">
        <f xml:space="preserve">
IF(OR('Dados da OS'!$D$8="Selecione o tipo da contagem",ISBLANK('Dados da OS'!$D$8),B378="INM",B378="N/A",ISBLANK(B378),ISBLANK(C378),N378="VF"),"-",
   IF('Dados da OS'!$D$8=Parâmetros!$B$3,
      IF(OR(ISBLANK(D378),ISBLANK(F378)),"-",
         IF(L378="L","Baixa",IF(L378="A","Média",IF(L378="H","Alta","-")))),
      IF('Dados da OS'!$D$8=Parâmetros!$B$4,
         IF(OR(B378="ALI",B378="AIE"),"Baixa",IF(OR(B378="EE",B378="SE",B378="CE"),"Média","-")),
         IF(OR('Dados da OS'!$D$8=Parâmetros!$B$5,'Dados da OS'!$D$8=Parâmetros!$B$6),"-"))))</f>
        <v>-</v>
      </c>
      <c r="P378" s="59" t="str">
        <f xml:space="preserve">
IF(OR(ISBLANK(B378),ISBLANK(C378),B378="N/A",ISBLANK('Dados da OS'!$D$8)),"",
   IF(OR('Dados da OS'!$D$8=Parâmetros!$B$3,'Dados da OS'!$D$8=Parâmetros!$B$4),
      IF(OR(AND(B378="INM",N378&lt;&gt;"VF"),AND(N378="VF",B378&lt;&gt;"INM")),"",
        IF(AND(B378="INM",N378="VF"),IF(ISBLANK(H378),"",M378*H378),
        IF('Dados da OS'!$D$8=Parâmetros!$B$4,
           IF(OR(B378="CE",B378="EE"),4,IF(B378="SE",5,IF(B378="ALI",7,IF(B378="AIE",5,"")))),
        IF('Dados da OS'!$D$8=Parâmetros!$B$3,
           IF(OR(ISBLANK(D378),ISBLANK(F378)),"",
              IF(B378="ALI",IF(L378="L",7,IF(L378="A",10,15)),
                 IF(B378="AIE",IF(L378="L",5,IF(L378="A",7,10)),
                    IF(B378="SE",IF(L378="L",4,IF(L378="A",5,7)),
                       IF(OR(B378="EE",B378="CE"),IF(L378="L",3,IF(L378="A",4,6)),""))))))))),
   IF('Dados da OS'!$D$8=Parâmetros!$B$5,
      IF(OR(AND(B378="INM",N378&lt;&gt;"VF"),AND(N378="VF",B378&lt;&gt;"INM")),"",
         IF(B378="INM",IF(N378="VF",M378*H378,""),
            IF(B378="PE",4.6,
            IF(B378="AL",7,"")))),
   IF('Dados da OS'!$D$8=Parâmetros!$B$6,
      IF(B378="ALI",35,IF(B378="AIE",15,"")),""))
    )
)</f>
        <v/>
      </c>
      <c r="Q378" s="60" t="str">
        <f t="shared" si="37"/>
        <v/>
      </c>
      <c r="R378" s="61"/>
      <c r="S378" s="62"/>
      <c r="T378" s="80" t="s">
        <v>21</v>
      </c>
      <c r="U378" s="81"/>
      <c r="V378" s="99"/>
      <c r="W378" s="55"/>
      <c r="X378" s="55"/>
      <c r="Y378" s="56"/>
      <c r="Z378" s="55"/>
      <c r="AA378" s="56"/>
      <c r="AB378" s="55"/>
      <c r="AC378" s="57" t="str">
        <f t="shared" si="38"/>
        <v/>
      </c>
      <c r="AD378" s="57" t="str">
        <f t="shared" si="39"/>
        <v/>
      </c>
      <c r="AE378" s="57" t="str">
        <f xml:space="preserve">
IF(OR('Dados da OS'!$D$8=Parâmetros!$B$3,'Dados da OS'!$D$8=Parâmetros!$B$4),
  IF(OR(ISBLANK(X378),ISBLANK(Z378)),
     IF(OR(V378="ALI",V378="AIE"),"L",IF(ISBLANK(V378),"","A")),
     IF(V378="EE",IF(Z378&gt;=3,IF(X378&gt;=5,"H","A"),
     IF(Z378&gt;=2,IF(X378&gt;=16,"H",IF(X378&lt;=4,"L","A")),IF(X378&lt;=15,"L","A"))),
     IF(OR(V378="SE",V378="CE"),IF(Z378&gt;=4,IF(X378&gt;=6,"H","A"),IF(Z378&gt;=2,IF(X378&gt;=20,"H",IF(X378&lt;=5,"L","A")),IF(X378&lt;=19,"L","A"))),
     IF(OR(V378="ALI",V378="AIE"),IF(Z378&gt;=6,IF(X378&gt;=20,"H","A"),IF(Z378&gt;=2,IF(X378&gt;=51,"H",IF(X378&lt;=19,"L","A")),IF(X378&lt;=50,"L","A"))))))),
IF('Dados da OS'!$D$8=Parâmetros!$B$6,"Indicativa",
IF('Dados da OS'!$D$8=Parâmetros!$B$5,"PFS","")))</f>
        <v/>
      </c>
      <c r="AF378" s="57">
        <f>IFERROR(VLOOKUP(W378,'Fatores de Impacto e INMs'!$A$3:$D$32,3,0),1)</f>
        <v>1</v>
      </c>
      <c r="AG378" s="57">
        <f>IFERROR(VLOOKUP(W378,'Fatores de Impacto e INMs'!$A$3:$E$32,5,0),1)</f>
        <v>1</v>
      </c>
      <c r="AH378" s="82" t="str">
        <f xml:space="preserve">
IF(OR('Dados da OS'!$D$8="Selecione o tipo da contagem",ISBLANK('Dados da OS'!$D$8),V378="INM",V378="N/A",ISBLANK(V378),ISBLANK(W378),AG378="VF"),"-",
   IF('Dados da OS'!$D$8=Parâmetros!$B$3,
      IF(OR(ISBLANK(X378),ISBLANK(Z378)),"-",
         IF(AE378="L","Baixa",IF(AE378="A","Média",IF(AE378="H","Alta","-")))),
      IF('Dados da OS'!$D$8=Parâmetros!$B$4,
         IF(OR(V378="ALI",V378="AIE"),"Baixa",IF(OR(V378="EE",V378="SE",V378="CE"),"Média","-")),
         IF(OR('Dados da OS'!$D$8=Parâmetros!$B$5,'Dados da OS'!$D$8=Parâmetros!$B$6),"-"))))</f>
        <v>-</v>
      </c>
      <c r="AI378" s="83" t="str">
        <f xml:space="preserve">
IF(OR(ISBLANK(V378),ISBLANK(U378),ISBLANK(W378),V378="N/A",ISBLANK('Dados da OS'!$D$8)),"",
   IF(OR('Dados da OS'!$D$8=Parâmetros!$B$3,'Dados da OS'!$D$8=Parâmetros!$B$4),
      IF(OR(AND(V378="INM",AG378&lt;&gt;"VF"),AND(AG378="VF",V378&lt;&gt;"INM")),"",
        IF(AND(V378="INM",AG378="VF"),IF(ISBLANK(AB378),"",AF378*AB378),
        IF('Dados da OS'!$D$8=Parâmetros!$B$4,
           IF(OR(V378="CE",V378="EE"),4,IF(V378="SE",5,IF(V378="ALI",7,IF(V378="AIE",5,"")))),
        IF('Dados da OS'!$D$8=Parâmetros!$B$3,
           IF(OR(ISBLANK(X378),ISBLANK(Z378)),"",
              IF(V378="ALI",IF(AE378="L",7,IF(AE378="A",10,15)),
                 IF(V378="AIE",IF(AE378="L",5,IF(AE378="A",7,10)),
                    IF(V378="SE",IF(AE378="L",4,IF(AE378="A",5,7)),
                       IF(OR(V378="EE",V378="CE"),IF(AE378="L",3,IF(AE378="A",4,6)),""))))))))),
   IF('Dados da OS'!$D$8=Parâmetros!$B$5,
      IF(OR(AND(V378="INM",AG378&lt;&gt;"VF"),AND(AG378="VF",V378&lt;&gt;"INM")),"",
         IF(V378="INM",IF(AG378="VF",AF378*AB378,""),
            IF(V378="PE",4.6,
            IF(V378="AL",7,"")))),
   IF('Dados da OS'!$D$8=Parâmetros!$B$6,
      IF(V378="ALI",35,IF(V378="AIE",15,"")),""))
    )
)</f>
        <v/>
      </c>
      <c r="AJ378" s="82" t="str">
        <f t="shared" si="40"/>
        <v/>
      </c>
      <c r="AK378" s="84"/>
      <c r="AL378" s="85" t="s">
        <v>21</v>
      </c>
      <c r="AM378" s="86"/>
      <c r="AN378" s="85"/>
      <c r="AO378" s="87"/>
      <c r="AP378" s="85"/>
      <c r="AQ378" s="86"/>
      <c r="AR378" s="85"/>
    </row>
    <row r="379" spans="1:44" ht="15.75" customHeight="1">
      <c r="A379" s="54"/>
      <c r="B379" s="100"/>
      <c r="C379" s="55"/>
      <c r="D379" s="55"/>
      <c r="E379" s="56"/>
      <c r="F379" s="55"/>
      <c r="G379" s="56"/>
      <c r="H379" s="55"/>
      <c r="I379" s="64"/>
      <c r="J379" s="57" t="str">
        <f t="shared" si="41"/>
        <v/>
      </c>
      <c r="K379" s="57" t="str">
        <f t="shared" si="42"/>
        <v/>
      </c>
      <c r="L379" s="57" t="str">
        <f xml:space="preserve">
IF(OR('Dados da OS'!$D$8=Parâmetros!$B$3,'Dados da OS'!$D$8=Parâmetros!$B$4),
  IF(OR(ISBLANK(D379),ISBLANK(F379)),
     IF(OR(B379="ALI",B379="AIE"),"L",IF(ISBLANK(B379),"","A")),
     IF(B379="EE",IF(F379&gt;=3,IF(D379&gt;=5,"H","A"),
     IF(F379&gt;=2,IF(D379&gt;=16,"H",IF(D379&lt;=4,"L","A")),IF(D379&lt;=15,"L","A"))),
     IF(OR(B379="SE",B379="CE"),IF(F379&gt;=4,IF(D379&gt;=6,"H","A"),IF(F379&gt;=2,IF(D379&gt;=20,"H",IF(D379&lt;=5,"L","A")),IF(D379&lt;=19,"L","A"))),
     IF(OR(B379="ALI",B379="AIE"),IF(F379&gt;=6,IF(D379&gt;=20,"H","A"),IF(F379&gt;=2,IF(D379&gt;=51,"H",IF(D379&lt;=19,"L","A")),IF(D379&lt;=50,"L","A"))))))),
IF('Dados da OS'!$D$8=Parâmetros!$B$6,"Indicativa",
IF('Dados da OS'!$D$8=Parâmetros!$B$5,"PFS","")))</f>
        <v/>
      </c>
      <c r="M379" s="57">
        <f>IFERROR(VLOOKUP(C379,'Fatores de Impacto e INMs'!$A$3:$D$32,3,0),1)</f>
        <v>1</v>
      </c>
      <c r="N379" s="57">
        <f>IFERROR(VLOOKUP(C379,'Fatores de Impacto e INMs'!$A$3:$E$32,5,0),1)</f>
        <v>1</v>
      </c>
      <c r="O379" s="63" t="str">
        <f xml:space="preserve">
IF(OR('Dados da OS'!$D$8="Selecione o tipo da contagem",ISBLANK('Dados da OS'!$D$8),B379="INM",B379="N/A",ISBLANK(B379),ISBLANK(C379),N379="VF"),"-",
   IF('Dados da OS'!$D$8=Parâmetros!$B$3,
      IF(OR(ISBLANK(D379),ISBLANK(F379)),"-",
         IF(L379="L","Baixa",IF(L379="A","Média",IF(L379="H","Alta","-")))),
      IF('Dados da OS'!$D$8=Parâmetros!$B$4,
         IF(OR(B379="ALI",B379="AIE"),"Baixa",IF(OR(B379="EE",B379="SE",B379="CE"),"Média","-")),
         IF(OR('Dados da OS'!$D$8=Parâmetros!$B$5,'Dados da OS'!$D$8=Parâmetros!$B$6),"-"))))</f>
        <v>-</v>
      </c>
      <c r="P379" s="59" t="str">
        <f xml:space="preserve">
IF(OR(ISBLANK(B379),ISBLANK(C379),B379="N/A",ISBLANK('Dados da OS'!$D$8)),"",
   IF(OR('Dados da OS'!$D$8=Parâmetros!$B$3,'Dados da OS'!$D$8=Parâmetros!$B$4),
      IF(OR(AND(B379="INM",N379&lt;&gt;"VF"),AND(N379="VF",B379&lt;&gt;"INM")),"",
        IF(AND(B379="INM",N379="VF"),IF(ISBLANK(H379),"",M379*H379),
        IF('Dados da OS'!$D$8=Parâmetros!$B$4,
           IF(OR(B379="CE",B379="EE"),4,IF(B379="SE",5,IF(B379="ALI",7,IF(B379="AIE",5,"")))),
        IF('Dados da OS'!$D$8=Parâmetros!$B$3,
           IF(OR(ISBLANK(D379),ISBLANK(F379)),"",
              IF(B379="ALI",IF(L379="L",7,IF(L379="A",10,15)),
                 IF(B379="AIE",IF(L379="L",5,IF(L379="A",7,10)),
                    IF(B379="SE",IF(L379="L",4,IF(L379="A",5,7)),
                       IF(OR(B379="EE",B379="CE"),IF(L379="L",3,IF(L379="A",4,6)),""))))))))),
   IF('Dados da OS'!$D$8=Parâmetros!$B$5,
      IF(OR(AND(B379="INM",N379&lt;&gt;"VF"),AND(N379="VF",B379&lt;&gt;"INM")),"",
         IF(B379="INM",IF(N379="VF",M379*H379,""),
            IF(B379="PE",4.6,
            IF(B379="AL",7,"")))),
   IF('Dados da OS'!$D$8=Parâmetros!$B$6,
      IF(B379="ALI",35,IF(B379="AIE",15,"")),""))
    )
)</f>
        <v/>
      </c>
      <c r="Q379" s="60" t="str">
        <f t="shared" si="37"/>
        <v/>
      </c>
      <c r="R379" s="61"/>
      <c r="S379" s="62"/>
      <c r="T379" s="80" t="s">
        <v>21</v>
      </c>
      <c r="U379" s="81"/>
      <c r="V379" s="99"/>
      <c r="W379" s="55"/>
      <c r="X379" s="55"/>
      <c r="Y379" s="56"/>
      <c r="Z379" s="55"/>
      <c r="AA379" s="56"/>
      <c r="AB379" s="55"/>
      <c r="AC379" s="57" t="str">
        <f t="shared" si="38"/>
        <v/>
      </c>
      <c r="AD379" s="57" t="str">
        <f t="shared" si="39"/>
        <v/>
      </c>
      <c r="AE379" s="57" t="str">
        <f xml:space="preserve">
IF(OR('Dados da OS'!$D$8=Parâmetros!$B$3,'Dados da OS'!$D$8=Parâmetros!$B$4),
  IF(OR(ISBLANK(X379),ISBLANK(Z379)),
     IF(OR(V379="ALI",V379="AIE"),"L",IF(ISBLANK(V379),"","A")),
     IF(V379="EE",IF(Z379&gt;=3,IF(X379&gt;=5,"H","A"),
     IF(Z379&gt;=2,IF(X379&gt;=16,"H",IF(X379&lt;=4,"L","A")),IF(X379&lt;=15,"L","A"))),
     IF(OR(V379="SE",V379="CE"),IF(Z379&gt;=4,IF(X379&gt;=6,"H","A"),IF(Z379&gt;=2,IF(X379&gt;=20,"H",IF(X379&lt;=5,"L","A")),IF(X379&lt;=19,"L","A"))),
     IF(OR(V379="ALI",V379="AIE"),IF(Z379&gt;=6,IF(X379&gt;=20,"H","A"),IF(Z379&gt;=2,IF(X379&gt;=51,"H",IF(X379&lt;=19,"L","A")),IF(X379&lt;=50,"L","A"))))))),
IF('Dados da OS'!$D$8=Parâmetros!$B$6,"Indicativa",
IF('Dados da OS'!$D$8=Parâmetros!$B$5,"PFS","")))</f>
        <v/>
      </c>
      <c r="AF379" s="57">
        <f>IFERROR(VLOOKUP(W379,'Fatores de Impacto e INMs'!$A$3:$D$32,3,0),1)</f>
        <v>1</v>
      </c>
      <c r="AG379" s="57">
        <f>IFERROR(VLOOKUP(W379,'Fatores de Impacto e INMs'!$A$3:$E$32,5,0),1)</f>
        <v>1</v>
      </c>
      <c r="AH379" s="82" t="str">
        <f xml:space="preserve">
IF(OR('Dados da OS'!$D$8="Selecione o tipo da contagem",ISBLANK('Dados da OS'!$D$8),V379="INM",V379="N/A",ISBLANK(V379),ISBLANK(W379),AG379="VF"),"-",
   IF('Dados da OS'!$D$8=Parâmetros!$B$3,
      IF(OR(ISBLANK(X379),ISBLANK(Z379)),"-",
         IF(AE379="L","Baixa",IF(AE379="A","Média",IF(AE379="H","Alta","-")))),
      IF('Dados da OS'!$D$8=Parâmetros!$B$4,
         IF(OR(V379="ALI",V379="AIE"),"Baixa",IF(OR(V379="EE",V379="SE",V379="CE"),"Média","-")),
         IF(OR('Dados da OS'!$D$8=Parâmetros!$B$5,'Dados da OS'!$D$8=Parâmetros!$B$6),"-"))))</f>
        <v>-</v>
      </c>
      <c r="AI379" s="83" t="str">
        <f xml:space="preserve">
IF(OR(ISBLANK(V379),ISBLANK(U379),ISBLANK(W379),V379="N/A",ISBLANK('Dados da OS'!$D$8)),"",
   IF(OR('Dados da OS'!$D$8=Parâmetros!$B$3,'Dados da OS'!$D$8=Parâmetros!$B$4),
      IF(OR(AND(V379="INM",AG379&lt;&gt;"VF"),AND(AG379="VF",V379&lt;&gt;"INM")),"",
        IF(AND(V379="INM",AG379="VF"),IF(ISBLANK(AB379),"",AF379*AB379),
        IF('Dados da OS'!$D$8=Parâmetros!$B$4,
           IF(OR(V379="CE",V379="EE"),4,IF(V379="SE",5,IF(V379="ALI",7,IF(V379="AIE",5,"")))),
        IF('Dados da OS'!$D$8=Parâmetros!$B$3,
           IF(OR(ISBLANK(X379),ISBLANK(Z379)),"",
              IF(V379="ALI",IF(AE379="L",7,IF(AE379="A",10,15)),
                 IF(V379="AIE",IF(AE379="L",5,IF(AE379="A",7,10)),
                    IF(V379="SE",IF(AE379="L",4,IF(AE379="A",5,7)),
                       IF(OR(V379="EE",V379="CE"),IF(AE379="L",3,IF(AE379="A",4,6)),""))))))))),
   IF('Dados da OS'!$D$8=Parâmetros!$B$5,
      IF(OR(AND(V379="INM",AG379&lt;&gt;"VF"),AND(AG379="VF",V379&lt;&gt;"INM")),"",
         IF(V379="INM",IF(AG379="VF",AF379*AB379,""),
            IF(V379="PE",4.6,
            IF(V379="AL",7,"")))),
   IF('Dados da OS'!$D$8=Parâmetros!$B$6,
      IF(V379="ALI",35,IF(V379="AIE",15,"")),""))
    )
)</f>
        <v/>
      </c>
      <c r="AJ379" s="82" t="str">
        <f t="shared" si="40"/>
        <v/>
      </c>
      <c r="AK379" s="84"/>
      <c r="AL379" s="85" t="s">
        <v>21</v>
      </c>
      <c r="AM379" s="86"/>
      <c r="AN379" s="85"/>
      <c r="AO379" s="87"/>
      <c r="AP379" s="85"/>
      <c r="AQ379" s="86"/>
      <c r="AR379" s="85"/>
    </row>
    <row r="380" spans="1:44" ht="15.75" customHeight="1">
      <c r="A380" s="54"/>
      <c r="B380" s="100"/>
      <c r="C380" s="55"/>
      <c r="D380" s="55"/>
      <c r="E380" s="56"/>
      <c r="F380" s="55"/>
      <c r="G380" s="56"/>
      <c r="H380" s="55"/>
      <c r="I380" s="64"/>
      <c r="J380" s="57" t="str">
        <f t="shared" si="41"/>
        <v/>
      </c>
      <c r="K380" s="57" t="str">
        <f t="shared" si="42"/>
        <v/>
      </c>
      <c r="L380" s="57" t="str">
        <f xml:space="preserve">
IF(OR('Dados da OS'!$D$8=Parâmetros!$B$3,'Dados da OS'!$D$8=Parâmetros!$B$4),
  IF(OR(ISBLANK(D380),ISBLANK(F380)),
     IF(OR(B380="ALI",B380="AIE"),"L",IF(ISBLANK(B380),"","A")),
     IF(B380="EE",IF(F380&gt;=3,IF(D380&gt;=5,"H","A"),
     IF(F380&gt;=2,IF(D380&gt;=16,"H",IF(D380&lt;=4,"L","A")),IF(D380&lt;=15,"L","A"))),
     IF(OR(B380="SE",B380="CE"),IF(F380&gt;=4,IF(D380&gt;=6,"H","A"),IF(F380&gt;=2,IF(D380&gt;=20,"H",IF(D380&lt;=5,"L","A")),IF(D380&lt;=19,"L","A"))),
     IF(OR(B380="ALI",B380="AIE"),IF(F380&gt;=6,IF(D380&gt;=20,"H","A"),IF(F380&gt;=2,IF(D380&gt;=51,"H",IF(D380&lt;=19,"L","A")),IF(D380&lt;=50,"L","A"))))))),
IF('Dados da OS'!$D$8=Parâmetros!$B$6,"Indicativa",
IF('Dados da OS'!$D$8=Parâmetros!$B$5,"PFS","")))</f>
        <v/>
      </c>
      <c r="M380" s="57">
        <f>IFERROR(VLOOKUP(C380,'Fatores de Impacto e INMs'!$A$3:$D$32,3,0),1)</f>
        <v>1</v>
      </c>
      <c r="N380" s="57">
        <f>IFERROR(VLOOKUP(C380,'Fatores de Impacto e INMs'!$A$3:$E$32,5,0),1)</f>
        <v>1</v>
      </c>
      <c r="O380" s="63" t="str">
        <f xml:space="preserve">
IF(OR('Dados da OS'!$D$8="Selecione o tipo da contagem",ISBLANK('Dados da OS'!$D$8),B380="INM",B380="N/A",ISBLANK(B380),ISBLANK(C380),N380="VF"),"-",
   IF('Dados da OS'!$D$8=Parâmetros!$B$3,
      IF(OR(ISBLANK(D380),ISBLANK(F380)),"-",
         IF(L380="L","Baixa",IF(L380="A","Média",IF(L380="H","Alta","-")))),
      IF('Dados da OS'!$D$8=Parâmetros!$B$4,
         IF(OR(B380="ALI",B380="AIE"),"Baixa",IF(OR(B380="EE",B380="SE",B380="CE"),"Média","-")),
         IF(OR('Dados da OS'!$D$8=Parâmetros!$B$5,'Dados da OS'!$D$8=Parâmetros!$B$6),"-"))))</f>
        <v>-</v>
      </c>
      <c r="P380" s="59" t="str">
        <f xml:space="preserve">
IF(OR(ISBLANK(B380),ISBLANK(C380),B380="N/A",ISBLANK('Dados da OS'!$D$8)),"",
   IF(OR('Dados da OS'!$D$8=Parâmetros!$B$3,'Dados da OS'!$D$8=Parâmetros!$B$4),
      IF(OR(AND(B380="INM",N380&lt;&gt;"VF"),AND(N380="VF",B380&lt;&gt;"INM")),"",
        IF(AND(B380="INM",N380="VF"),IF(ISBLANK(H380),"",M380*H380),
        IF('Dados da OS'!$D$8=Parâmetros!$B$4,
           IF(OR(B380="CE",B380="EE"),4,IF(B380="SE",5,IF(B380="ALI",7,IF(B380="AIE",5,"")))),
        IF('Dados da OS'!$D$8=Parâmetros!$B$3,
           IF(OR(ISBLANK(D380),ISBLANK(F380)),"",
              IF(B380="ALI",IF(L380="L",7,IF(L380="A",10,15)),
                 IF(B380="AIE",IF(L380="L",5,IF(L380="A",7,10)),
                    IF(B380="SE",IF(L380="L",4,IF(L380="A",5,7)),
                       IF(OR(B380="EE",B380="CE"),IF(L380="L",3,IF(L380="A",4,6)),""))))))))),
   IF('Dados da OS'!$D$8=Parâmetros!$B$5,
      IF(OR(AND(B380="INM",N380&lt;&gt;"VF"),AND(N380="VF",B380&lt;&gt;"INM")),"",
         IF(B380="INM",IF(N380="VF",M380*H380,""),
            IF(B380="PE",4.6,
            IF(B380="AL",7,"")))),
   IF('Dados da OS'!$D$8=Parâmetros!$B$6,
      IF(B380="ALI",35,IF(B380="AIE",15,"")),""))
    )
)</f>
        <v/>
      </c>
      <c r="Q380" s="60" t="str">
        <f t="shared" si="37"/>
        <v/>
      </c>
      <c r="R380" s="61"/>
      <c r="S380" s="62"/>
      <c r="T380" s="80" t="s">
        <v>21</v>
      </c>
      <c r="U380" s="81"/>
      <c r="V380" s="99"/>
      <c r="W380" s="55"/>
      <c r="X380" s="55"/>
      <c r="Y380" s="56"/>
      <c r="Z380" s="55"/>
      <c r="AA380" s="56"/>
      <c r="AB380" s="55"/>
      <c r="AC380" s="57" t="str">
        <f t="shared" si="38"/>
        <v/>
      </c>
      <c r="AD380" s="57" t="str">
        <f t="shared" si="39"/>
        <v/>
      </c>
      <c r="AE380" s="57" t="str">
        <f xml:space="preserve">
IF(OR('Dados da OS'!$D$8=Parâmetros!$B$3,'Dados da OS'!$D$8=Parâmetros!$B$4),
  IF(OR(ISBLANK(X380),ISBLANK(Z380)),
     IF(OR(V380="ALI",V380="AIE"),"L",IF(ISBLANK(V380),"","A")),
     IF(V380="EE",IF(Z380&gt;=3,IF(X380&gt;=5,"H","A"),
     IF(Z380&gt;=2,IF(X380&gt;=16,"H",IF(X380&lt;=4,"L","A")),IF(X380&lt;=15,"L","A"))),
     IF(OR(V380="SE",V380="CE"),IF(Z380&gt;=4,IF(X380&gt;=6,"H","A"),IF(Z380&gt;=2,IF(X380&gt;=20,"H",IF(X380&lt;=5,"L","A")),IF(X380&lt;=19,"L","A"))),
     IF(OR(V380="ALI",V380="AIE"),IF(Z380&gt;=6,IF(X380&gt;=20,"H","A"),IF(Z380&gt;=2,IF(X380&gt;=51,"H",IF(X380&lt;=19,"L","A")),IF(X380&lt;=50,"L","A"))))))),
IF('Dados da OS'!$D$8=Parâmetros!$B$6,"Indicativa",
IF('Dados da OS'!$D$8=Parâmetros!$B$5,"PFS","")))</f>
        <v/>
      </c>
      <c r="AF380" s="57">
        <f>IFERROR(VLOOKUP(W380,'Fatores de Impacto e INMs'!$A$3:$D$32,3,0),1)</f>
        <v>1</v>
      </c>
      <c r="AG380" s="57">
        <f>IFERROR(VLOOKUP(W380,'Fatores de Impacto e INMs'!$A$3:$E$32,5,0),1)</f>
        <v>1</v>
      </c>
      <c r="AH380" s="82" t="str">
        <f xml:space="preserve">
IF(OR('Dados da OS'!$D$8="Selecione o tipo da contagem",ISBLANK('Dados da OS'!$D$8),V380="INM",V380="N/A",ISBLANK(V380),ISBLANK(W380),AG380="VF"),"-",
   IF('Dados da OS'!$D$8=Parâmetros!$B$3,
      IF(OR(ISBLANK(X380),ISBLANK(Z380)),"-",
         IF(AE380="L","Baixa",IF(AE380="A","Média",IF(AE380="H","Alta","-")))),
      IF('Dados da OS'!$D$8=Parâmetros!$B$4,
         IF(OR(V380="ALI",V380="AIE"),"Baixa",IF(OR(V380="EE",V380="SE",V380="CE"),"Média","-")),
         IF(OR('Dados da OS'!$D$8=Parâmetros!$B$5,'Dados da OS'!$D$8=Parâmetros!$B$6),"-"))))</f>
        <v>-</v>
      </c>
      <c r="AI380" s="83" t="str">
        <f xml:space="preserve">
IF(OR(ISBLANK(V380),ISBLANK(U380),ISBLANK(W380),V380="N/A",ISBLANK('Dados da OS'!$D$8)),"",
   IF(OR('Dados da OS'!$D$8=Parâmetros!$B$3,'Dados da OS'!$D$8=Parâmetros!$B$4),
      IF(OR(AND(V380="INM",AG380&lt;&gt;"VF"),AND(AG380="VF",V380&lt;&gt;"INM")),"",
        IF(AND(V380="INM",AG380="VF"),IF(ISBLANK(AB380),"",AF380*AB380),
        IF('Dados da OS'!$D$8=Parâmetros!$B$4,
           IF(OR(V380="CE",V380="EE"),4,IF(V380="SE",5,IF(V380="ALI",7,IF(V380="AIE",5,"")))),
        IF('Dados da OS'!$D$8=Parâmetros!$B$3,
           IF(OR(ISBLANK(X380),ISBLANK(Z380)),"",
              IF(V380="ALI",IF(AE380="L",7,IF(AE380="A",10,15)),
                 IF(V380="AIE",IF(AE380="L",5,IF(AE380="A",7,10)),
                    IF(V380="SE",IF(AE380="L",4,IF(AE380="A",5,7)),
                       IF(OR(V380="EE",V380="CE"),IF(AE380="L",3,IF(AE380="A",4,6)),""))))))))),
   IF('Dados da OS'!$D$8=Parâmetros!$B$5,
      IF(OR(AND(V380="INM",AG380&lt;&gt;"VF"),AND(AG380="VF",V380&lt;&gt;"INM")),"",
         IF(V380="INM",IF(AG380="VF",AF380*AB380,""),
            IF(V380="PE",4.6,
            IF(V380="AL",7,"")))),
   IF('Dados da OS'!$D$8=Parâmetros!$B$6,
      IF(V380="ALI",35,IF(V380="AIE",15,"")),""))
    )
)</f>
        <v/>
      </c>
      <c r="AJ380" s="82" t="str">
        <f t="shared" si="40"/>
        <v/>
      </c>
      <c r="AK380" s="84"/>
      <c r="AL380" s="85" t="s">
        <v>21</v>
      </c>
      <c r="AM380" s="86"/>
      <c r="AN380" s="85"/>
      <c r="AO380" s="87"/>
      <c r="AP380" s="85"/>
      <c r="AQ380" s="86"/>
      <c r="AR380" s="85"/>
    </row>
    <row r="381" spans="1:44" ht="15.75" customHeight="1">
      <c r="A381" s="54"/>
      <c r="B381" s="100"/>
      <c r="C381" s="55"/>
      <c r="D381" s="55"/>
      <c r="E381" s="56"/>
      <c r="F381" s="55"/>
      <c r="G381" s="56"/>
      <c r="H381" s="55"/>
      <c r="I381" s="64"/>
      <c r="J381" s="57" t="str">
        <f t="shared" si="41"/>
        <v/>
      </c>
      <c r="K381" s="57" t="str">
        <f t="shared" si="42"/>
        <v/>
      </c>
      <c r="L381" s="57" t="str">
        <f xml:space="preserve">
IF(OR('Dados da OS'!$D$8=Parâmetros!$B$3,'Dados da OS'!$D$8=Parâmetros!$B$4),
  IF(OR(ISBLANK(D381),ISBLANK(F381)),
     IF(OR(B381="ALI",B381="AIE"),"L",IF(ISBLANK(B381),"","A")),
     IF(B381="EE",IF(F381&gt;=3,IF(D381&gt;=5,"H","A"),
     IF(F381&gt;=2,IF(D381&gt;=16,"H",IF(D381&lt;=4,"L","A")),IF(D381&lt;=15,"L","A"))),
     IF(OR(B381="SE",B381="CE"),IF(F381&gt;=4,IF(D381&gt;=6,"H","A"),IF(F381&gt;=2,IF(D381&gt;=20,"H",IF(D381&lt;=5,"L","A")),IF(D381&lt;=19,"L","A"))),
     IF(OR(B381="ALI",B381="AIE"),IF(F381&gt;=6,IF(D381&gt;=20,"H","A"),IF(F381&gt;=2,IF(D381&gt;=51,"H",IF(D381&lt;=19,"L","A")),IF(D381&lt;=50,"L","A"))))))),
IF('Dados da OS'!$D$8=Parâmetros!$B$6,"Indicativa",
IF('Dados da OS'!$D$8=Parâmetros!$B$5,"PFS","")))</f>
        <v/>
      </c>
      <c r="M381" s="57">
        <f>IFERROR(VLOOKUP(C381,'Fatores de Impacto e INMs'!$A$3:$D$32,3,0),1)</f>
        <v>1</v>
      </c>
      <c r="N381" s="57">
        <f>IFERROR(VLOOKUP(C381,'Fatores de Impacto e INMs'!$A$3:$E$32,5,0),1)</f>
        <v>1</v>
      </c>
      <c r="O381" s="63" t="str">
        <f xml:space="preserve">
IF(OR('Dados da OS'!$D$8="Selecione o tipo da contagem",ISBLANK('Dados da OS'!$D$8),B381="INM",B381="N/A",ISBLANK(B381),ISBLANK(C381),N381="VF"),"-",
   IF('Dados da OS'!$D$8=Parâmetros!$B$3,
      IF(OR(ISBLANK(D381),ISBLANK(F381)),"-",
         IF(L381="L","Baixa",IF(L381="A","Média",IF(L381="H","Alta","-")))),
      IF('Dados da OS'!$D$8=Parâmetros!$B$4,
         IF(OR(B381="ALI",B381="AIE"),"Baixa",IF(OR(B381="EE",B381="SE",B381="CE"),"Média","-")),
         IF(OR('Dados da OS'!$D$8=Parâmetros!$B$5,'Dados da OS'!$D$8=Parâmetros!$B$6),"-"))))</f>
        <v>-</v>
      </c>
      <c r="P381" s="59" t="str">
        <f xml:space="preserve">
IF(OR(ISBLANK(B381),ISBLANK(C381),B381="N/A",ISBLANK('Dados da OS'!$D$8)),"",
   IF(OR('Dados da OS'!$D$8=Parâmetros!$B$3,'Dados da OS'!$D$8=Parâmetros!$B$4),
      IF(OR(AND(B381="INM",N381&lt;&gt;"VF"),AND(N381="VF",B381&lt;&gt;"INM")),"",
        IF(AND(B381="INM",N381="VF"),IF(ISBLANK(H381),"",M381*H381),
        IF('Dados da OS'!$D$8=Parâmetros!$B$4,
           IF(OR(B381="CE",B381="EE"),4,IF(B381="SE",5,IF(B381="ALI",7,IF(B381="AIE",5,"")))),
        IF('Dados da OS'!$D$8=Parâmetros!$B$3,
           IF(OR(ISBLANK(D381),ISBLANK(F381)),"",
              IF(B381="ALI",IF(L381="L",7,IF(L381="A",10,15)),
                 IF(B381="AIE",IF(L381="L",5,IF(L381="A",7,10)),
                    IF(B381="SE",IF(L381="L",4,IF(L381="A",5,7)),
                       IF(OR(B381="EE",B381="CE"),IF(L381="L",3,IF(L381="A",4,6)),""))))))))),
   IF('Dados da OS'!$D$8=Parâmetros!$B$5,
      IF(OR(AND(B381="INM",N381&lt;&gt;"VF"),AND(N381="VF",B381&lt;&gt;"INM")),"",
         IF(B381="INM",IF(N381="VF",M381*H381,""),
            IF(B381="PE",4.6,
            IF(B381="AL",7,"")))),
   IF('Dados da OS'!$D$8=Parâmetros!$B$6,
      IF(B381="ALI",35,IF(B381="AIE",15,"")),""))
    )
)</f>
        <v/>
      </c>
      <c r="Q381" s="60" t="str">
        <f t="shared" si="37"/>
        <v/>
      </c>
      <c r="R381" s="61"/>
      <c r="S381" s="62"/>
      <c r="T381" s="80" t="s">
        <v>21</v>
      </c>
      <c r="U381" s="81"/>
      <c r="V381" s="99"/>
      <c r="W381" s="55"/>
      <c r="X381" s="55"/>
      <c r="Y381" s="56"/>
      <c r="Z381" s="55"/>
      <c r="AA381" s="56"/>
      <c r="AB381" s="55"/>
      <c r="AC381" s="57" t="str">
        <f t="shared" si="38"/>
        <v/>
      </c>
      <c r="AD381" s="57" t="str">
        <f t="shared" si="39"/>
        <v/>
      </c>
      <c r="AE381" s="57" t="str">
        <f xml:space="preserve">
IF(OR('Dados da OS'!$D$8=Parâmetros!$B$3,'Dados da OS'!$D$8=Parâmetros!$B$4),
  IF(OR(ISBLANK(X381),ISBLANK(Z381)),
     IF(OR(V381="ALI",V381="AIE"),"L",IF(ISBLANK(V381),"","A")),
     IF(V381="EE",IF(Z381&gt;=3,IF(X381&gt;=5,"H","A"),
     IF(Z381&gt;=2,IF(X381&gt;=16,"H",IF(X381&lt;=4,"L","A")),IF(X381&lt;=15,"L","A"))),
     IF(OR(V381="SE",V381="CE"),IF(Z381&gt;=4,IF(X381&gt;=6,"H","A"),IF(Z381&gt;=2,IF(X381&gt;=20,"H",IF(X381&lt;=5,"L","A")),IF(X381&lt;=19,"L","A"))),
     IF(OR(V381="ALI",V381="AIE"),IF(Z381&gt;=6,IF(X381&gt;=20,"H","A"),IF(Z381&gt;=2,IF(X381&gt;=51,"H",IF(X381&lt;=19,"L","A")),IF(X381&lt;=50,"L","A"))))))),
IF('Dados da OS'!$D$8=Parâmetros!$B$6,"Indicativa",
IF('Dados da OS'!$D$8=Parâmetros!$B$5,"PFS","")))</f>
        <v/>
      </c>
      <c r="AF381" s="57">
        <f>IFERROR(VLOOKUP(W381,'Fatores de Impacto e INMs'!$A$3:$D$32,3,0),1)</f>
        <v>1</v>
      </c>
      <c r="AG381" s="57">
        <f>IFERROR(VLOOKUP(W381,'Fatores de Impacto e INMs'!$A$3:$E$32,5,0),1)</f>
        <v>1</v>
      </c>
      <c r="AH381" s="82" t="str">
        <f xml:space="preserve">
IF(OR('Dados da OS'!$D$8="Selecione o tipo da contagem",ISBLANK('Dados da OS'!$D$8),V381="INM",V381="N/A",ISBLANK(V381),ISBLANK(W381),AG381="VF"),"-",
   IF('Dados da OS'!$D$8=Parâmetros!$B$3,
      IF(OR(ISBLANK(X381),ISBLANK(Z381)),"-",
         IF(AE381="L","Baixa",IF(AE381="A","Média",IF(AE381="H","Alta","-")))),
      IF('Dados da OS'!$D$8=Parâmetros!$B$4,
         IF(OR(V381="ALI",V381="AIE"),"Baixa",IF(OR(V381="EE",V381="SE",V381="CE"),"Média","-")),
         IF(OR('Dados da OS'!$D$8=Parâmetros!$B$5,'Dados da OS'!$D$8=Parâmetros!$B$6),"-"))))</f>
        <v>-</v>
      </c>
      <c r="AI381" s="83" t="str">
        <f xml:space="preserve">
IF(OR(ISBLANK(V381),ISBLANK(U381),ISBLANK(W381),V381="N/A",ISBLANK('Dados da OS'!$D$8)),"",
   IF(OR('Dados da OS'!$D$8=Parâmetros!$B$3,'Dados da OS'!$D$8=Parâmetros!$B$4),
      IF(OR(AND(V381="INM",AG381&lt;&gt;"VF"),AND(AG381="VF",V381&lt;&gt;"INM")),"",
        IF(AND(V381="INM",AG381="VF"),IF(ISBLANK(AB381),"",AF381*AB381),
        IF('Dados da OS'!$D$8=Parâmetros!$B$4,
           IF(OR(V381="CE",V381="EE"),4,IF(V381="SE",5,IF(V381="ALI",7,IF(V381="AIE",5,"")))),
        IF('Dados da OS'!$D$8=Parâmetros!$B$3,
           IF(OR(ISBLANK(X381),ISBLANK(Z381)),"",
              IF(V381="ALI",IF(AE381="L",7,IF(AE381="A",10,15)),
                 IF(V381="AIE",IF(AE381="L",5,IF(AE381="A",7,10)),
                    IF(V381="SE",IF(AE381="L",4,IF(AE381="A",5,7)),
                       IF(OR(V381="EE",V381="CE"),IF(AE381="L",3,IF(AE381="A",4,6)),""))))))))),
   IF('Dados da OS'!$D$8=Parâmetros!$B$5,
      IF(OR(AND(V381="INM",AG381&lt;&gt;"VF"),AND(AG381="VF",V381&lt;&gt;"INM")),"",
         IF(V381="INM",IF(AG381="VF",AF381*AB381,""),
            IF(V381="PE",4.6,
            IF(V381="AL",7,"")))),
   IF('Dados da OS'!$D$8=Parâmetros!$B$6,
      IF(V381="ALI",35,IF(V381="AIE",15,"")),""))
    )
)</f>
        <v/>
      </c>
      <c r="AJ381" s="82" t="str">
        <f t="shared" si="40"/>
        <v/>
      </c>
      <c r="AK381" s="84"/>
      <c r="AL381" s="85" t="s">
        <v>21</v>
      </c>
      <c r="AM381" s="86"/>
      <c r="AN381" s="85"/>
      <c r="AO381" s="87"/>
      <c r="AP381" s="85"/>
      <c r="AQ381" s="86"/>
      <c r="AR381" s="85"/>
    </row>
    <row r="382" spans="1:44" ht="15.75" customHeight="1">
      <c r="A382" s="54"/>
      <c r="B382" s="100"/>
      <c r="C382" s="55"/>
      <c r="D382" s="55"/>
      <c r="E382" s="56"/>
      <c r="F382" s="55"/>
      <c r="G382" s="56"/>
      <c r="H382" s="55"/>
      <c r="I382" s="64"/>
      <c r="J382" s="57" t="str">
        <f t="shared" si="41"/>
        <v/>
      </c>
      <c r="K382" s="57" t="str">
        <f t="shared" si="42"/>
        <v/>
      </c>
      <c r="L382" s="57" t="str">
        <f xml:space="preserve">
IF(OR('Dados da OS'!$D$8=Parâmetros!$B$3,'Dados da OS'!$D$8=Parâmetros!$B$4),
  IF(OR(ISBLANK(D382),ISBLANK(F382)),
     IF(OR(B382="ALI",B382="AIE"),"L",IF(ISBLANK(B382),"","A")),
     IF(B382="EE",IF(F382&gt;=3,IF(D382&gt;=5,"H","A"),
     IF(F382&gt;=2,IF(D382&gt;=16,"H",IF(D382&lt;=4,"L","A")),IF(D382&lt;=15,"L","A"))),
     IF(OR(B382="SE",B382="CE"),IF(F382&gt;=4,IF(D382&gt;=6,"H","A"),IF(F382&gt;=2,IF(D382&gt;=20,"H",IF(D382&lt;=5,"L","A")),IF(D382&lt;=19,"L","A"))),
     IF(OR(B382="ALI",B382="AIE"),IF(F382&gt;=6,IF(D382&gt;=20,"H","A"),IF(F382&gt;=2,IF(D382&gt;=51,"H",IF(D382&lt;=19,"L","A")),IF(D382&lt;=50,"L","A"))))))),
IF('Dados da OS'!$D$8=Parâmetros!$B$6,"Indicativa",
IF('Dados da OS'!$D$8=Parâmetros!$B$5,"PFS","")))</f>
        <v/>
      </c>
      <c r="M382" s="57">
        <f>IFERROR(VLOOKUP(C382,'Fatores de Impacto e INMs'!$A$3:$D$32,3,0),1)</f>
        <v>1</v>
      </c>
      <c r="N382" s="57">
        <f>IFERROR(VLOOKUP(C382,'Fatores de Impacto e INMs'!$A$3:$E$32,5,0),1)</f>
        <v>1</v>
      </c>
      <c r="O382" s="63" t="str">
        <f xml:space="preserve">
IF(OR('Dados da OS'!$D$8="Selecione o tipo da contagem",ISBLANK('Dados da OS'!$D$8),B382="INM",B382="N/A",ISBLANK(B382),ISBLANK(C382),N382="VF"),"-",
   IF('Dados da OS'!$D$8=Parâmetros!$B$3,
      IF(OR(ISBLANK(D382),ISBLANK(F382)),"-",
         IF(L382="L","Baixa",IF(L382="A","Média",IF(L382="H","Alta","-")))),
      IF('Dados da OS'!$D$8=Parâmetros!$B$4,
         IF(OR(B382="ALI",B382="AIE"),"Baixa",IF(OR(B382="EE",B382="SE",B382="CE"),"Média","-")),
         IF(OR('Dados da OS'!$D$8=Parâmetros!$B$5,'Dados da OS'!$D$8=Parâmetros!$B$6),"-"))))</f>
        <v>-</v>
      </c>
      <c r="P382" s="59" t="str">
        <f xml:space="preserve">
IF(OR(ISBLANK(B382),ISBLANK(C382),B382="N/A",ISBLANK('Dados da OS'!$D$8)),"",
   IF(OR('Dados da OS'!$D$8=Parâmetros!$B$3,'Dados da OS'!$D$8=Parâmetros!$B$4),
      IF(OR(AND(B382="INM",N382&lt;&gt;"VF"),AND(N382="VF",B382&lt;&gt;"INM")),"",
        IF(AND(B382="INM",N382="VF"),IF(ISBLANK(H382),"",M382*H382),
        IF('Dados da OS'!$D$8=Parâmetros!$B$4,
           IF(OR(B382="CE",B382="EE"),4,IF(B382="SE",5,IF(B382="ALI",7,IF(B382="AIE",5,"")))),
        IF('Dados da OS'!$D$8=Parâmetros!$B$3,
           IF(OR(ISBLANK(D382),ISBLANK(F382)),"",
              IF(B382="ALI",IF(L382="L",7,IF(L382="A",10,15)),
                 IF(B382="AIE",IF(L382="L",5,IF(L382="A",7,10)),
                    IF(B382="SE",IF(L382="L",4,IF(L382="A",5,7)),
                       IF(OR(B382="EE",B382="CE"),IF(L382="L",3,IF(L382="A",4,6)),""))))))))),
   IF('Dados da OS'!$D$8=Parâmetros!$B$5,
      IF(OR(AND(B382="INM",N382&lt;&gt;"VF"),AND(N382="VF",B382&lt;&gt;"INM")),"",
         IF(B382="INM",IF(N382="VF",M382*H382,""),
            IF(B382="PE",4.6,
            IF(B382="AL",7,"")))),
   IF('Dados da OS'!$D$8=Parâmetros!$B$6,
      IF(B382="ALI",35,IF(B382="AIE",15,"")),""))
    )
)</f>
        <v/>
      </c>
      <c r="Q382" s="60" t="str">
        <f t="shared" si="37"/>
        <v/>
      </c>
      <c r="R382" s="61"/>
      <c r="S382" s="62"/>
      <c r="T382" s="80" t="s">
        <v>21</v>
      </c>
      <c r="U382" s="81"/>
      <c r="V382" s="99"/>
      <c r="W382" s="55"/>
      <c r="X382" s="55"/>
      <c r="Y382" s="56"/>
      <c r="Z382" s="55"/>
      <c r="AA382" s="56"/>
      <c r="AB382" s="55"/>
      <c r="AC382" s="57" t="str">
        <f t="shared" si="38"/>
        <v/>
      </c>
      <c r="AD382" s="57" t="str">
        <f t="shared" si="39"/>
        <v/>
      </c>
      <c r="AE382" s="57" t="str">
        <f xml:space="preserve">
IF(OR('Dados da OS'!$D$8=Parâmetros!$B$3,'Dados da OS'!$D$8=Parâmetros!$B$4),
  IF(OR(ISBLANK(X382),ISBLANK(Z382)),
     IF(OR(V382="ALI",V382="AIE"),"L",IF(ISBLANK(V382),"","A")),
     IF(V382="EE",IF(Z382&gt;=3,IF(X382&gt;=5,"H","A"),
     IF(Z382&gt;=2,IF(X382&gt;=16,"H",IF(X382&lt;=4,"L","A")),IF(X382&lt;=15,"L","A"))),
     IF(OR(V382="SE",V382="CE"),IF(Z382&gt;=4,IF(X382&gt;=6,"H","A"),IF(Z382&gt;=2,IF(X382&gt;=20,"H",IF(X382&lt;=5,"L","A")),IF(X382&lt;=19,"L","A"))),
     IF(OR(V382="ALI",V382="AIE"),IF(Z382&gt;=6,IF(X382&gt;=20,"H","A"),IF(Z382&gt;=2,IF(X382&gt;=51,"H",IF(X382&lt;=19,"L","A")),IF(X382&lt;=50,"L","A"))))))),
IF('Dados da OS'!$D$8=Parâmetros!$B$6,"Indicativa",
IF('Dados da OS'!$D$8=Parâmetros!$B$5,"PFS","")))</f>
        <v/>
      </c>
      <c r="AF382" s="57">
        <f>IFERROR(VLOOKUP(W382,'Fatores de Impacto e INMs'!$A$3:$D$32,3,0),1)</f>
        <v>1</v>
      </c>
      <c r="AG382" s="57">
        <f>IFERROR(VLOOKUP(W382,'Fatores de Impacto e INMs'!$A$3:$E$32,5,0),1)</f>
        <v>1</v>
      </c>
      <c r="AH382" s="82" t="str">
        <f xml:space="preserve">
IF(OR('Dados da OS'!$D$8="Selecione o tipo da contagem",ISBLANK('Dados da OS'!$D$8),V382="INM",V382="N/A",ISBLANK(V382),ISBLANK(W382),AG382="VF"),"-",
   IF('Dados da OS'!$D$8=Parâmetros!$B$3,
      IF(OR(ISBLANK(X382),ISBLANK(Z382)),"-",
         IF(AE382="L","Baixa",IF(AE382="A","Média",IF(AE382="H","Alta","-")))),
      IF('Dados da OS'!$D$8=Parâmetros!$B$4,
         IF(OR(V382="ALI",V382="AIE"),"Baixa",IF(OR(V382="EE",V382="SE",V382="CE"),"Média","-")),
         IF(OR('Dados da OS'!$D$8=Parâmetros!$B$5,'Dados da OS'!$D$8=Parâmetros!$B$6),"-"))))</f>
        <v>-</v>
      </c>
      <c r="AI382" s="83" t="str">
        <f xml:space="preserve">
IF(OR(ISBLANK(V382),ISBLANK(U382),ISBLANK(W382),V382="N/A",ISBLANK('Dados da OS'!$D$8)),"",
   IF(OR('Dados da OS'!$D$8=Parâmetros!$B$3,'Dados da OS'!$D$8=Parâmetros!$B$4),
      IF(OR(AND(V382="INM",AG382&lt;&gt;"VF"),AND(AG382="VF",V382&lt;&gt;"INM")),"",
        IF(AND(V382="INM",AG382="VF"),IF(ISBLANK(AB382),"",AF382*AB382),
        IF('Dados da OS'!$D$8=Parâmetros!$B$4,
           IF(OR(V382="CE",V382="EE"),4,IF(V382="SE",5,IF(V382="ALI",7,IF(V382="AIE",5,"")))),
        IF('Dados da OS'!$D$8=Parâmetros!$B$3,
           IF(OR(ISBLANK(X382),ISBLANK(Z382)),"",
              IF(V382="ALI",IF(AE382="L",7,IF(AE382="A",10,15)),
                 IF(V382="AIE",IF(AE382="L",5,IF(AE382="A",7,10)),
                    IF(V382="SE",IF(AE382="L",4,IF(AE382="A",5,7)),
                       IF(OR(V382="EE",V382="CE"),IF(AE382="L",3,IF(AE382="A",4,6)),""))))))))),
   IF('Dados da OS'!$D$8=Parâmetros!$B$5,
      IF(OR(AND(V382="INM",AG382&lt;&gt;"VF"),AND(AG382="VF",V382&lt;&gt;"INM")),"",
         IF(V382="INM",IF(AG382="VF",AF382*AB382,""),
            IF(V382="PE",4.6,
            IF(V382="AL",7,"")))),
   IF('Dados da OS'!$D$8=Parâmetros!$B$6,
      IF(V382="ALI",35,IF(V382="AIE",15,"")),""))
    )
)</f>
        <v/>
      </c>
      <c r="AJ382" s="82" t="str">
        <f t="shared" si="40"/>
        <v/>
      </c>
      <c r="AK382" s="84"/>
      <c r="AL382" s="85" t="s">
        <v>21</v>
      </c>
      <c r="AM382" s="86"/>
      <c r="AN382" s="85"/>
      <c r="AO382" s="87"/>
      <c r="AP382" s="85"/>
      <c r="AQ382" s="86"/>
      <c r="AR382" s="85"/>
    </row>
    <row r="383" spans="1:44" ht="15.75" customHeight="1">
      <c r="A383" s="54"/>
      <c r="B383" s="100"/>
      <c r="C383" s="55"/>
      <c r="D383" s="55"/>
      <c r="E383" s="56"/>
      <c r="F383" s="55"/>
      <c r="G383" s="56"/>
      <c r="H383" s="55"/>
      <c r="I383" s="64"/>
      <c r="J383" s="57" t="str">
        <f t="shared" si="41"/>
        <v/>
      </c>
      <c r="K383" s="57" t="str">
        <f t="shared" si="42"/>
        <v/>
      </c>
      <c r="L383" s="57" t="str">
        <f xml:space="preserve">
IF(OR('Dados da OS'!$D$8=Parâmetros!$B$3,'Dados da OS'!$D$8=Parâmetros!$B$4),
  IF(OR(ISBLANK(D383),ISBLANK(F383)),
     IF(OR(B383="ALI",B383="AIE"),"L",IF(ISBLANK(B383),"","A")),
     IF(B383="EE",IF(F383&gt;=3,IF(D383&gt;=5,"H","A"),
     IF(F383&gt;=2,IF(D383&gt;=16,"H",IF(D383&lt;=4,"L","A")),IF(D383&lt;=15,"L","A"))),
     IF(OR(B383="SE",B383="CE"),IF(F383&gt;=4,IF(D383&gt;=6,"H","A"),IF(F383&gt;=2,IF(D383&gt;=20,"H",IF(D383&lt;=5,"L","A")),IF(D383&lt;=19,"L","A"))),
     IF(OR(B383="ALI",B383="AIE"),IF(F383&gt;=6,IF(D383&gt;=20,"H","A"),IF(F383&gt;=2,IF(D383&gt;=51,"H",IF(D383&lt;=19,"L","A")),IF(D383&lt;=50,"L","A"))))))),
IF('Dados da OS'!$D$8=Parâmetros!$B$6,"Indicativa",
IF('Dados da OS'!$D$8=Parâmetros!$B$5,"PFS","")))</f>
        <v/>
      </c>
      <c r="M383" s="57">
        <f>IFERROR(VLOOKUP(C383,'Fatores de Impacto e INMs'!$A$3:$D$32,3,0),1)</f>
        <v>1</v>
      </c>
      <c r="N383" s="57">
        <f>IFERROR(VLOOKUP(C383,'Fatores de Impacto e INMs'!$A$3:$E$32,5,0),1)</f>
        <v>1</v>
      </c>
      <c r="O383" s="63" t="str">
        <f xml:space="preserve">
IF(OR('Dados da OS'!$D$8="Selecione o tipo da contagem",ISBLANK('Dados da OS'!$D$8),B383="INM",B383="N/A",ISBLANK(B383),ISBLANK(C383),N383="VF"),"-",
   IF('Dados da OS'!$D$8=Parâmetros!$B$3,
      IF(OR(ISBLANK(D383),ISBLANK(F383)),"-",
         IF(L383="L","Baixa",IF(L383="A","Média",IF(L383="H","Alta","-")))),
      IF('Dados da OS'!$D$8=Parâmetros!$B$4,
         IF(OR(B383="ALI",B383="AIE"),"Baixa",IF(OR(B383="EE",B383="SE",B383="CE"),"Média","-")),
         IF(OR('Dados da OS'!$D$8=Parâmetros!$B$5,'Dados da OS'!$D$8=Parâmetros!$B$6),"-"))))</f>
        <v>-</v>
      </c>
      <c r="P383" s="59" t="str">
        <f xml:space="preserve">
IF(OR(ISBLANK(B383),ISBLANK(C383),B383="N/A",ISBLANK('Dados da OS'!$D$8)),"",
   IF(OR('Dados da OS'!$D$8=Parâmetros!$B$3,'Dados da OS'!$D$8=Parâmetros!$B$4),
      IF(OR(AND(B383="INM",N383&lt;&gt;"VF"),AND(N383="VF",B383&lt;&gt;"INM")),"",
        IF(AND(B383="INM",N383="VF"),IF(ISBLANK(H383),"",M383*H383),
        IF('Dados da OS'!$D$8=Parâmetros!$B$4,
           IF(OR(B383="CE",B383="EE"),4,IF(B383="SE",5,IF(B383="ALI",7,IF(B383="AIE",5,"")))),
        IF('Dados da OS'!$D$8=Parâmetros!$B$3,
           IF(OR(ISBLANK(D383),ISBLANK(F383)),"",
              IF(B383="ALI",IF(L383="L",7,IF(L383="A",10,15)),
                 IF(B383="AIE",IF(L383="L",5,IF(L383="A",7,10)),
                    IF(B383="SE",IF(L383="L",4,IF(L383="A",5,7)),
                       IF(OR(B383="EE",B383="CE"),IF(L383="L",3,IF(L383="A",4,6)),""))))))))),
   IF('Dados da OS'!$D$8=Parâmetros!$B$5,
      IF(OR(AND(B383="INM",N383&lt;&gt;"VF"),AND(N383="VF",B383&lt;&gt;"INM")),"",
         IF(B383="INM",IF(N383="VF",M383*H383,""),
            IF(B383="PE",4.6,
            IF(B383="AL",7,"")))),
   IF('Dados da OS'!$D$8=Parâmetros!$B$6,
      IF(B383="ALI",35,IF(B383="AIE",15,"")),""))
    )
)</f>
        <v/>
      </c>
      <c r="Q383" s="60" t="str">
        <f t="shared" si="37"/>
        <v/>
      </c>
      <c r="R383" s="61"/>
      <c r="S383" s="62"/>
      <c r="T383" s="80" t="s">
        <v>21</v>
      </c>
      <c r="U383" s="81"/>
      <c r="V383" s="99"/>
      <c r="W383" s="55"/>
      <c r="X383" s="55"/>
      <c r="Y383" s="56"/>
      <c r="Z383" s="55"/>
      <c r="AA383" s="56"/>
      <c r="AB383" s="55"/>
      <c r="AC383" s="57" t="str">
        <f t="shared" si="38"/>
        <v/>
      </c>
      <c r="AD383" s="57" t="str">
        <f t="shared" si="39"/>
        <v/>
      </c>
      <c r="AE383" s="57" t="str">
        <f xml:space="preserve">
IF(OR('Dados da OS'!$D$8=Parâmetros!$B$3,'Dados da OS'!$D$8=Parâmetros!$B$4),
  IF(OR(ISBLANK(X383),ISBLANK(Z383)),
     IF(OR(V383="ALI",V383="AIE"),"L",IF(ISBLANK(V383),"","A")),
     IF(V383="EE",IF(Z383&gt;=3,IF(X383&gt;=5,"H","A"),
     IF(Z383&gt;=2,IF(X383&gt;=16,"H",IF(X383&lt;=4,"L","A")),IF(X383&lt;=15,"L","A"))),
     IF(OR(V383="SE",V383="CE"),IF(Z383&gt;=4,IF(X383&gt;=6,"H","A"),IF(Z383&gt;=2,IF(X383&gt;=20,"H",IF(X383&lt;=5,"L","A")),IF(X383&lt;=19,"L","A"))),
     IF(OR(V383="ALI",V383="AIE"),IF(Z383&gt;=6,IF(X383&gt;=20,"H","A"),IF(Z383&gt;=2,IF(X383&gt;=51,"H",IF(X383&lt;=19,"L","A")),IF(X383&lt;=50,"L","A"))))))),
IF('Dados da OS'!$D$8=Parâmetros!$B$6,"Indicativa",
IF('Dados da OS'!$D$8=Parâmetros!$B$5,"PFS","")))</f>
        <v/>
      </c>
      <c r="AF383" s="57">
        <f>IFERROR(VLOOKUP(W383,'Fatores de Impacto e INMs'!$A$3:$D$32,3,0),1)</f>
        <v>1</v>
      </c>
      <c r="AG383" s="57">
        <f>IFERROR(VLOOKUP(W383,'Fatores de Impacto e INMs'!$A$3:$E$32,5,0),1)</f>
        <v>1</v>
      </c>
      <c r="AH383" s="82" t="str">
        <f xml:space="preserve">
IF(OR('Dados da OS'!$D$8="Selecione o tipo da contagem",ISBLANK('Dados da OS'!$D$8),V383="INM",V383="N/A",ISBLANK(V383),ISBLANK(W383),AG383="VF"),"-",
   IF('Dados da OS'!$D$8=Parâmetros!$B$3,
      IF(OR(ISBLANK(X383),ISBLANK(Z383)),"-",
         IF(AE383="L","Baixa",IF(AE383="A","Média",IF(AE383="H","Alta","-")))),
      IF('Dados da OS'!$D$8=Parâmetros!$B$4,
         IF(OR(V383="ALI",V383="AIE"),"Baixa",IF(OR(V383="EE",V383="SE",V383="CE"),"Média","-")),
         IF(OR('Dados da OS'!$D$8=Parâmetros!$B$5,'Dados da OS'!$D$8=Parâmetros!$B$6),"-"))))</f>
        <v>-</v>
      </c>
      <c r="AI383" s="83" t="str">
        <f xml:space="preserve">
IF(OR(ISBLANK(V383),ISBLANK(U383),ISBLANK(W383),V383="N/A",ISBLANK('Dados da OS'!$D$8)),"",
   IF(OR('Dados da OS'!$D$8=Parâmetros!$B$3,'Dados da OS'!$D$8=Parâmetros!$B$4),
      IF(OR(AND(V383="INM",AG383&lt;&gt;"VF"),AND(AG383="VF",V383&lt;&gt;"INM")),"",
        IF(AND(V383="INM",AG383="VF"),IF(ISBLANK(AB383),"",AF383*AB383),
        IF('Dados da OS'!$D$8=Parâmetros!$B$4,
           IF(OR(V383="CE",V383="EE"),4,IF(V383="SE",5,IF(V383="ALI",7,IF(V383="AIE",5,"")))),
        IF('Dados da OS'!$D$8=Parâmetros!$B$3,
           IF(OR(ISBLANK(X383),ISBLANK(Z383)),"",
              IF(V383="ALI",IF(AE383="L",7,IF(AE383="A",10,15)),
                 IF(V383="AIE",IF(AE383="L",5,IF(AE383="A",7,10)),
                    IF(V383="SE",IF(AE383="L",4,IF(AE383="A",5,7)),
                       IF(OR(V383="EE",V383="CE"),IF(AE383="L",3,IF(AE383="A",4,6)),""))))))))),
   IF('Dados da OS'!$D$8=Parâmetros!$B$5,
      IF(OR(AND(V383="INM",AG383&lt;&gt;"VF"),AND(AG383="VF",V383&lt;&gt;"INM")),"",
         IF(V383="INM",IF(AG383="VF",AF383*AB383,""),
            IF(V383="PE",4.6,
            IF(V383="AL",7,"")))),
   IF('Dados da OS'!$D$8=Parâmetros!$B$6,
      IF(V383="ALI",35,IF(V383="AIE",15,"")),""))
    )
)</f>
        <v/>
      </c>
      <c r="AJ383" s="82" t="str">
        <f t="shared" si="40"/>
        <v/>
      </c>
      <c r="AK383" s="84"/>
      <c r="AL383" s="85" t="s">
        <v>21</v>
      </c>
      <c r="AM383" s="86"/>
      <c r="AN383" s="85"/>
      <c r="AO383" s="87"/>
      <c r="AP383" s="85"/>
      <c r="AQ383" s="86"/>
      <c r="AR383" s="85"/>
    </row>
    <row r="384" spans="1:44" ht="15.75" customHeight="1">
      <c r="A384" s="54"/>
      <c r="B384" s="100"/>
      <c r="C384" s="55"/>
      <c r="D384" s="55"/>
      <c r="E384" s="56"/>
      <c r="F384" s="55"/>
      <c r="G384" s="56"/>
      <c r="H384" s="55"/>
      <c r="I384" s="64"/>
      <c r="J384" s="57" t="str">
        <f t="shared" si="41"/>
        <v/>
      </c>
      <c r="K384" s="57" t="str">
        <f t="shared" si="42"/>
        <v/>
      </c>
      <c r="L384" s="57" t="str">
        <f xml:space="preserve">
IF(OR('Dados da OS'!$D$8=Parâmetros!$B$3,'Dados da OS'!$D$8=Parâmetros!$B$4),
  IF(OR(ISBLANK(D384),ISBLANK(F384)),
     IF(OR(B384="ALI",B384="AIE"),"L",IF(ISBLANK(B384),"","A")),
     IF(B384="EE",IF(F384&gt;=3,IF(D384&gt;=5,"H","A"),
     IF(F384&gt;=2,IF(D384&gt;=16,"H",IF(D384&lt;=4,"L","A")),IF(D384&lt;=15,"L","A"))),
     IF(OR(B384="SE",B384="CE"),IF(F384&gt;=4,IF(D384&gt;=6,"H","A"),IF(F384&gt;=2,IF(D384&gt;=20,"H",IF(D384&lt;=5,"L","A")),IF(D384&lt;=19,"L","A"))),
     IF(OR(B384="ALI",B384="AIE"),IF(F384&gt;=6,IF(D384&gt;=20,"H","A"),IF(F384&gt;=2,IF(D384&gt;=51,"H",IF(D384&lt;=19,"L","A")),IF(D384&lt;=50,"L","A"))))))),
IF('Dados da OS'!$D$8=Parâmetros!$B$6,"Indicativa",
IF('Dados da OS'!$D$8=Parâmetros!$B$5,"PFS","")))</f>
        <v/>
      </c>
      <c r="M384" s="57">
        <f>IFERROR(VLOOKUP(C384,'Fatores de Impacto e INMs'!$A$3:$D$32,3,0),1)</f>
        <v>1</v>
      </c>
      <c r="N384" s="57">
        <f>IFERROR(VLOOKUP(C384,'Fatores de Impacto e INMs'!$A$3:$E$32,5,0),1)</f>
        <v>1</v>
      </c>
      <c r="O384" s="63" t="str">
        <f xml:space="preserve">
IF(OR('Dados da OS'!$D$8="Selecione o tipo da contagem",ISBLANK('Dados da OS'!$D$8),B384="INM",B384="N/A",ISBLANK(B384),ISBLANK(C384),N384="VF"),"-",
   IF('Dados da OS'!$D$8=Parâmetros!$B$3,
      IF(OR(ISBLANK(D384),ISBLANK(F384)),"-",
         IF(L384="L","Baixa",IF(L384="A","Média",IF(L384="H","Alta","-")))),
      IF('Dados da OS'!$D$8=Parâmetros!$B$4,
         IF(OR(B384="ALI",B384="AIE"),"Baixa",IF(OR(B384="EE",B384="SE",B384="CE"),"Média","-")),
         IF(OR('Dados da OS'!$D$8=Parâmetros!$B$5,'Dados da OS'!$D$8=Parâmetros!$B$6),"-"))))</f>
        <v>-</v>
      </c>
      <c r="P384" s="59" t="str">
        <f xml:space="preserve">
IF(OR(ISBLANK(B384),ISBLANK(C384),B384="N/A",ISBLANK('Dados da OS'!$D$8)),"",
   IF(OR('Dados da OS'!$D$8=Parâmetros!$B$3,'Dados da OS'!$D$8=Parâmetros!$B$4),
      IF(OR(AND(B384="INM",N384&lt;&gt;"VF"),AND(N384="VF",B384&lt;&gt;"INM")),"",
        IF(AND(B384="INM",N384="VF"),IF(ISBLANK(H384),"",M384*H384),
        IF('Dados da OS'!$D$8=Parâmetros!$B$4,
           IF(OR(B384="CE",B384="EE"),4,IF(B384="SE",5,IF(B384="ALI",7,IF(B384="AIE",5,"")))),
        IF('Dados da OS'!$D$8=Parâmetros!$B$3,
           IF(OR(ISBLANK(D384),ISBLANK(F384)),"",
              IF(B384="ALI",IF(L384="L",7,IF(L384="A",10,15)),
                 IF(B384="AIE",IF(L384="L",5,IF(L384="A",7,10)),
                    IF(B384="SE",IF(L384="L",4,IF(L384="A",5,7)),
                       IF(OR(B384="EE",B384="CE"),IF(L384="L",3,IF(L384="A",4,6)),""))))))))),
   IF('Dados da OS'!$D$8=Parâmetros!$B$5,
      IF(OR(AND(B384="INM",N384&lt;&gt;"VF"),AND(N384="VF",B384&lt;&gt;"INM")),"",
         IF(B384="INM",IF(N384="VF",M384*H384,""),
            IF(B384="PE",4.6,
            IF(B384="AL",7,"")))),
   IF('Dados da OS'!$D$8=Parâmetros!$B$6,
      IF(B384="ALI",35,IF(B384="AIE",15,"")),""))
    )
)</f>
        <v/>
      </c>
      <c r="Q384" s="60" t="str">
        <f t="shared" si="37"/>
        <v/>
      </c>
      <c r="R384" s="61"/>
      <c r="S384" s="62"/>
      <c r="T384" s="80" t="s">
        <v>21</v>
      </c>
      <c r="U384" s="81"/>
      <c r="V384" s="99"/>
      <c r="W384" s="55"/>
      <c r="X384" s="55"/>
      <c r="Y384" s="56"/>
      <c r="Z384" s="55"/>
      <c r="AA384" s="56"/>
      <c r="AB384" s="55"/>
      <c r="AC384" s="57" t="str">
        <f t="shared" si="38"/>
        <v/>
      </c>
      <c r="AD384" s="57" t="str">
        <f t="shared" si="39"/>
        <v/>
      </c>
      <c r="AE384" s="57" t="str">
        <f xml:space="preserve">
IF(OR('Dados da OS'!$D$8=Parâmetros!$B$3,'Dados da OS'!$D$8=Parâmetros!$B$4),
  IF(OR(ISBLANK(X384),ISBLANK(Z384)),
     IF(OR(V384="ALI",V384="AIE"),"L",IF(ISBLANK(V384),"","A")),
     IF(V384="EE",IF(Z384&gt;=3,IF(X384&gt;=5,"H","A"),
     IF(Z384&gt;=2,IF(X384&gt;=16,"H",IF(X384&lt;=4,"L","A")),IF(X384&lt;=15,"L","A"))),
     IF(OR(V384="SE",V384="CE"),IF(Z384&gt;=4,IF(X384&gt;=6,"H","A"),IF(Z384&gt;=2,IF(X384&gt;=20,"H",IF(X384&lt;=5,"L","A")),IF(X384&lt;=19,"L","A"))),
     IF(OR(V384="ALI",V384="AIE"),IF(Z384&gt;=6,IF(X384&gt;=20,"H","A"),IF(Z384&gt;=2,IF(X384&gt;=51,"H",IF(X384&lt;=19,"L","A")),IF(X384&lt;=50,"L","A"))))))),
IF('Dados da OS'!$D$8=Parâmetros!$B$6,"Indicativa",
IF('Dados da OS'!$D$8=Parâmetros!$B$5,"PFS","")))</f>
        <v/>
      </c>
      <c r="AF384" s="57">
        <f>IFERROR(VLOOKUP(W384,'Fatores de Impacto e INMs'!$A$3:$D$32,3,0),1)</f>
        <v>1</v>
      </c>
      <c r="AG384" s="57">
        <f>IFERROR(VLOOKUP(W384,'Fatores de Impacto e INMs'!$A$3:$E$32,5,0),1)</f>
        <v>1</v>
      </c>
      <c r="AH384" s="82" t="str">
        <f xml:space="preserve">
IF(OR('Dados da OS'!$D$8="Selecione o tipo da contagem",ISBLANK('Dados da OS'!$D$8),V384="INM",V384="N/A",ISBLANK(V384),ISBLANK(W384),AG384="VF"),"-",
   IF('Dados da OS'!$D$8=Parâmetros!$B$3,
      IF(OR(ISBLANK(X384),ISBLANK(Z384)),"-",
         IF(AE384="L","Baixa",IF(AE384="A","Média",IF(AE384="H","Alta","-")))),
      IF('Dados da OS'!$D$8=Parâmetros!$B$4,
         IF(OR(V384="ALI",V384="AIE"),"Baixa",IF(OR(V384="EE",V384="SE",V384="CE"),"Média","-")),
         IF(OR('Dados da OS'!$D$8=Parâmetros!$B$5,'Dados da OS'!$D$8=Parâmetros!$B$6),"-"))))</f>
        <v>-</v>
      </c>
      <c r="AI384" s="83" t="str">
        <f xml:space="preserve">
IF(OR(ISBLANK(V384),ISBLANK(U384),ISBLANK(W384),V384="N/A",ISBLANK('Dados da OS'!$D$8)),"",
   IF(OR('Dados da OS'!$D$8=Parâmetros!$B$3,'Dados da OS'!$D$8=Parâmetros!$B$4),
      IF(OR(AND(V384="INM",AG384&lt;&gt;"VF"),AND(AG384="VF",V384&lt;&gt;"INM")),"",
        IF(AND(V384="INM",AG384="VF"),IF(ISBLANK(AB384),"",AF384*AB384),
        IF('Dados da OS'!$D$8=Parâmetros!$B$4,
           IF(OR(V384="CE",V384="EE"),4,IF(V384="SE",5,IF(V384="ALI",7,IF(V384="AIE",5,"")))),
        IF('Dados da OS'!$D$8=Parâmetros!$B$3,
           IF(OR(ISBLANK(X384),ISBLANK(Z384)),"",
              IF(V384="ALI",IF(AE384="L",7,IF(AE384="A",10,15)),
                 IF(V384="AIE",IF(AE384="L",5,IF(AE384="A",7,10)),
                    IF(V384="SE",IF(AE384="L",4,IF(AE384="A",5,7)),
                       IF(OR(V384="EE",V384="CE"),IF(AE384="L",3,IF(AE384="A",4,6)),""))))))))),
   IF('Dados da OS'!$D$8=Parâmetros!$B$5,
      IF(OR(AND(V384="INM",AG384&lt;&gt;"VF"),AND(AG384="VF",V384&lt;&gt;"INM")),"",
         IF(V384="INM",IF(AG384="VF",AF384*AB384,""),
            IF(V384="PE",4.6,
            IF(V384="AL",7,"")))),
   IF('Dados da OS'!$D$8=Parâmetros!$B$6,
      IF(V384="ALI",35,IF(V384="AIE",15,"")),""))
    )
)</f>
        <v/>
      </c>
      <c r="AJ384" s="82" t="str">
        <f t="shared" si="40"/>
        <v/>
      </c>
      <c r="AK384" s="84"/>
      <c r="AL384" s="85" t="s">
        <v>21</v>
      </c>
      <c r="AM384" s="86"/>
      <c r="AN384" s="85"/>
      <c r="AO384" s="87"/>
      <c r="AP384" s="85"/>
      <c r="AQ384" s="86"/>
      <c r="AR384" s="85"/>
    </row>
    <row r="385" spans="1:44" ht="15.75" customHeight="1">
      <c r="A385" s="54"/>
      <c r="B385" s="100"/>
      <c r="C385" s="55"/>
      <c r="D385" s="55"/>
      <c r="E385" s="56"/>
      <c r="F385" s="55"/>
      <c r="G385" s="56"/>
      <c r="H385" s="55"/>
      <c r="I385" s="64"/>
      <c r="J385" s="57" t="str">
        <f t="shared" si="41"/>
        <v/>
      </c>
      <c r="K385" s="57" t="str">
        <f t="shared" si="42"/>
        <v/>
      </c>
      <c r="L385" s="57" t="str">
        <f xml:space="preserve">
IF(OR('Dados da OS'!$D$8=Parâmetros!$B$3,'Dados da OS'!$D$8=Parâmetros!$B$4),
  IF(OR(ISBLANK(D385),ISBLANK(F385)),
     IF(OR(B385="ALI",B385="AIE"),"L",IF(ISBLANK(B385),"","A")),
     IF(B385="EE",IF(F385&gt;=3,IF(D385&gt;=5,"H","A"),
     IF(F385&gt;=2,IF(D385&gt;=16,"H",IF(D385&lt;=4,"L","A")),IF(D385&lt;=15,"L","A"))),
     IF(OR(B385="SE",B385="CE"),IF(F385&gt;=4,IF(D385&gt;=6,"H","A"),IF(F385&gt;=2,IF(D385&gt;=20,"H",IF(D385&lt;=5,"L","A")),IF(D385&lt;=19,"L","A"))),
     IF(OR(B385="ALI",B385="AIE"),IF(F385&gt;=6,IF(D385&gt;=20,"H","A"),IF(F385&gt;=2,IF(D385&gt;=51,"H",IF(D385&lt;=19,"L","A")),IF(D385&lt;=50,"L","A"))))))),
IF('Dados da OS'!$D$8=Parâmetros!$B$6,"Indicativa",
IF('Dados da OS'!$D$8=Parâmetros!$B$5,"PFS","")))</f>
        <v/>
      </c>
      <c r="M385" s="57">
        <f>IFERROR(VLOOKUP(C385,'Fatores de Impacto e INMs'!$A$3:$D$32,3,0),1)</f>
        <v>1</v>
      </c>
      <c r="N385" s="57">
        <f>IFERROR(VLOOKUP(C385,'Fatores de Impacto e INMs'!$A$3:$E$32,5,0),1)</f>
        <v>1</v>
      </c>
      <c r="O385" s="63" t="str">
        <f xml:space="preserve">
IF(OR('Dados da OS'!$D$8="Selecione o tipo da contagem",ISBLANK('Dados da OS'!$D$8),B385="INM",B385="N/A",ISBLANK(B385),ISBLANK(C385),N385="VF"),"-",
   IF('Dados da OS'!$D$8=Parâmetros!$B$3,
      IF(OR(ISBLANK(D385),ISBLANK(F385)),"-",
         IF(L385="L","Baixa",IF(L385="A","Média",IF(L385="H","Alta","-")))),
      IF('Dados da OS'!$D$8=Parâmetros!$B$4,
         IF(OR(B385="ALI",B385="AIE"),"Baixa",IF(OR(B385="EE",B385="SE",B385="CE"),"Média","-")),
         IF(OR('Dados da OS'!$D$8=Parâmetros!$B$5,'Dados da OS'!$D$8=Parâmetros!$B$6),"-"))))</f>
        <v>-</v>
      </c>
      <c r="P385" s="59" t="str">
        <f xml:space="preserve">
IF(OR(ISBLANK(B385),ISBLANK(C385),B385="N/A",ISBLANK('Dados da OS'!$D$8)),"",
   IF(OR('Dados da OS'!$D$8=Parâmetros!$B$3,'Dados da OS'!$D$8=Parâmetros!$B$4),
      IF(OR(AND(B385="INM",N385&lt;&gt;"VF"),AND(N385="VF",B385&lt;&gt;"INM")),"",
        IF(AND(B385="INM",N385="VF"),IF(ISBLANK(H385),"",M385*H385),
        IF('Dados da OS'!$D$8=Parâmetros!$B$4,
           IF(OR(B385="CE",B385="EE"),4,IF(B385="SE",5,IF(B385="ALI",7,IF(B385="AIE",5,"")))),
        IF('Dados da OS'!$D$8=Parâmetros!$B$3,
           IF(OR(ISBLANK(D385),ISBLANK(F385)),"",
              IF(B385="ALI",IF(L385="L",7,IF(L385="A",10,15)),
                 IF(B385="AIE",IF(L385="L",5,IF(L385="A",7,10)),
                    IF(B385="SE",IF(L385="L",4,IF(L385="A",5,7)),
                       IF(OR(B385="EE",B385="CE"),IF(L385="L",3,IF(L385="A",4,6)),""))))))))),
   IF('Dados da OS'!$D$8=Parâmetros!$B$5,
      IF(OR(AND(B385="INM",N385&lt;&gt;"VF"),AND(N385="VF",B385&lt;&gt;"INM")),"",
         IF(B385="INM",IF(N385="VF",M385*H385,""),
            IF(B385="PE",4.6,
            IF(B385="AL",7,"")))),
   IF('Dados da OS'!$D$8=Parâmetros!$B$6,
      IF(B385="ALI",35,IF(B385="AIE",15,"")),""))
    )
)</f>
        <v/>
      </c>
      <c r="Q385" s="60" t="str">
        <f t="shared" si="37"/>
        <v/>
      </c>
      <c r="R385" s="61"/>
      <c r="S385" s="62"/>
      <c r="T385" s="80" t="s">
        <v>21</v>
      </c>
      <c r="U385" s="81"/>
      <c r="V385" s="99"/>
      <c r="W385" s="55"/>
      <c r="X385" s="55"/>
      <c r="Y385" s="56"/>
      <c r="Z385" s="55"/>
      <c r="AA385" s="56"/>
      <c r="AB385" s="55"/>
      <c r="AC385" s="57" t="str">
        <f t="shared" si="38"/>
        <v/>
      </c>
      <c r="AD385" s="57" t="str">
        <f t="shared" si="39"/>
        <v/>
      </c>
      <c r="AE385" s="57" t="str">
        <f xml:space="preserve">
IF(OR('Dados da OS'!$D$8=Parâmetros!$B$3,'Dados da OS'!$D$8=Parâmetros!$B$4),
  IF(OR(ISBLANK(X385),ISBLANK(Z385)),
     IF(OR(V385="ALI",V385="AIE"),"L",IF(ISBLANK(V385),"","A")),
     IF(V385="EE",IF(Z385&gt;=3,IF(X385&gt;=5,"H","A"),
     IF(Z385&gt;=2,IF(X385&gt;=16,"H",IF(X385&lt;=4,"L","A")),IF(X385&lt;=15,"L","A"))),
     IF(OR(V385="SE",V385="CE"),IF(Z385&gt;=4,IF(X385&gt;=6,"H","A"),IF(Z385&gt;=2,IF(X385&gt;=20,"H",IF(X385&lt;=5,"L","A")),IF(X385&lt;=19,"L","A"))),
     IF(OR(V385="ALI",V385="AIE"),IF(Z385&gt;=6,IF(X385&gt;=20,"H","A"),IF(Z385&gt;=2,IF(X385&gt;=51,"H",IF(X385&lt;=19,"L","A")),IF(X385&lt;=50,"L","A"))))))),
IF('Dados da OS'!$D$8=Parâmetros!$B$6,"Indicativa",
IF('Dados da OS'!$D$8=Parâmetros!$B$5,"PFS","")))</f>
        <v/>
      </c>
      <c r="AF385" s="57">
        <f>IFERROR(VLOOKUP(W385,'Fatores de Impacto e INMs'!$A$3:$D$32,3,0),1)</f>
        <v>1</v>
      </c>
      <c r="AG385" s="57">
        <f>IFERROR(VLOOKUP(W385,'Fatores de Impacto e INMs'!$A$3:$E$32,5,0),1)</f>
        <v>1</v>
      </c>
      <c r="AH385" s="82" t="str">
        <f xml:space="preserve">
IF(OR('Dados da OS'!$D$8="Selecione o tipo da contagem",ISBLANK('Dados da OS'!$D$8),V385="INM",V385="N/A",ISBLANK(V385),ISBLANK(W385),AG385="VF"),"-",
   IF('Dados da OS'!$D$8=Parâmetros!$B$3,
      IF(OR(ISBLANK(X385),ISBLANK(Z385)),"-",
         IF(AE385="L","Baixa",IF(AE385="A","Média",IF(AE385="H","Alta","-")))),
      IF('Dados da OS'!$D$8=Parâmetros!$B$4,
         IF(OR(V385="ALI",V385="AIE"),"Baixa",IF(OR(V385="EE",V385="SE",V385="CE"),"Média","-")),
         IF(OR('Dados da OS'!$D$8=Parâmetros!$B$5,'Dados da OS'!$D$8=Parâmetros!$B$6),"-"))))</f>
        <v>-</v>
      </c>
      <c r="AI385" s="83" t="str">
        <f xml:space="preserve">
IF(OR(ISBLANK(V385),ISBLANK(U385),ISBLANK(W385),V385="N/A",ISBLANK('Dados da OS'!$D$8)),"",
   IF(OR('Dados da OS'!$D$8=Parâmetros!$B$3,'Dados da OS'!$D$8=Parâmetros!$B$4),
      IF(OR(AND(V385="INM",AG385&lt;&gt;"VF"),AND(AG385="VF",V385&lt;&gt;"INM")),"",
        IF(AND(V385="INM",AG385="VF"),IF(ISBLANK(AB385),"",AF385*AB385),
        IF('Dados da OS'!$D$8=Parâmetros!$B$4,
           IF(OR(V385="CE",V385="EE"),4,IF(V385="SE",5,IF(V385="ALI",7,IF(V385="AIE",5,"")))),
        IF('Dados da OS'!$D$8=Parâmetros!$B$3,
           IF(OR(ISBLANK(X385),ISBLANK(Z385)),"",
              IF(V385="ALI",IF(AE385="L",7,IF(AE385="A",10,15)),
                 IF(V385="AIE",IF(AE385="L",5,IF(AE385="A",7,10)),
                    IF(V385="SE",IF(AE385="L",4,IF(AE385="A",5,7)),
                       IF(OR(V385="EE",V385="CE"),IF(AE385="L",3,IF(AE385="A",4,6)),""))))))))),
   IF('Dados da OS'!$D$8=Parâmetros!$B$5,
      IF(OR(AND(V385="INM",AG385&lt;&gt;"VF"),AND(AG385="VF",V385&lt;&gt;"INM")),"",
         IF(V385="INM",IF(AG385="VF",AF385*AB385,""),
            IF(V385="PE",4.6,
            IF(V385="AL",7,"")))),
   IF('Dados da OS'!$D$8=Parâmetros!$B$6,
      IF(V385="ALI",35,IF(V385="AIE",15,"")),""))
    )
)</f>
        <v/>
      </c>
      <c r="AJ385" s="82" t="str">
        <f t="shared" si="40"/>
        <v/>
      </c>
      <c r="AK385" s="84"/>
      <c r="AL385" s="85" t="s">
        <v>21</v>
      </c>
      <c r="AM385" s="86"/>
      <c r="AN385" s="85"/>
      <c r="AO385" s="87"/>
      <c r="AP385" s="85"/>
      <c r="AQ385" s="86"/>
      <c r="AR385" s="85"/>
    </row>
    <row r="386" spans="1:44" ht="15.75" customHeight="1">
      <c r="A386" s="54"/>
      <c r="B386" s="100"/>
      <c r="C386" s="55"/>
      <c r="D386" s="55"/>
      <c r="E386" s="56"/>
      <c r="F386" s="55"/>
      <c r="G386" s="56"/>
      <c r="H386" s="55"/>
      <c r="I386" s="64"/>
      <c r="J386" s="57" t="str">
        <f t="shared" si="41"/>
        <v/>
      </c>
      <c r="K386" s="57" t="str">
        <f t="shared" si="42"/>
        <v/>
      </c>
      <c r="L386" s="57" t="str">
        <f xml:space="preserve">
IF(OR('Dados da OS'!$D$8=Parâmetros!$B$3,'Dados da OS'!$D$8=Parâmetros!$B$4),
  IF(OR(ISBLANK(D386),ISBLANK(F386)),
     IF(OR(B386="ALI",B386="AIE"),"L",IF(ISBLANK(B386),"","A")),
     IF(B386="EE",IF(F386&gt;=3,IF(D386&gt;=5,"H","A"),
     IF(F386&gt;=2,IF(D386&gt;=16,"H",IF(D386&lt;=4,"L","A")),IF(D386&lt;=15,"L","A"))),
     IF(OR(B386="SE",B386="CE"),IF(F386&gt;=4,IF(D386&gt;=6,"H","A"),IF(F386&gt;=2,IF(D386&gt;=20,"H",IF(D386&lt;=5,"L","A")),IF(D386&lt;=19,"L","A"))),
     IF(OR(B386="ALI",B386="AIE"),IF(F386&gt;=6,IF(D386&gt;=20,"H","A"),IF(F386&gt;=2,IF(D386&gt;=51,"H",IF(D386&lt;=19,"L","A")),IF(D386&lt;=50,"L","A"))))))),
IF('Dados da OS'!$D$8=Parâmetros!$B$6,"Indicativa",
IF('Dados da OS'!$D$8=Parâmetros!$B$5,"PFS","")))</f>
        <v/>
      </c>
      <c r="M386" s="57">
        <f>IFERROR(VLOOKUP(C386,'Fatores de Impacto e INMs'!$A$3:$D$32,3,0),1)</f>
        <v>1</v>
      </c>
      <c r="N386" s="57">
        <f>IFERROR(VLOOKUP(C386,'Fatores de Impacto e INMs'!$A$3:$E$32,5,0),1)</f>
        <v>1</v>
      </c>
      <c r="O386" s="63" t="str">
        <f xml:space="preserve">
IF(OR('Dados da OS'!$D$8="Selecione o tipo da contagem",ISBLANK('Dados da OS'!$D$8),B386="INM",B386="N/A",ISBLANK(B386),ISBLANK(C386),N386="VF"),"-",
   IF('Dados da OS'!$D$8=Parâmetros!$B$3,
      IF(OR(ISBLANK(D386),ISBLANK(F386)),"-",
         IF(L386="L","Baixa",IF(L386="A","Média",IF(L386="H","Alta","-")))),
      IF('Dados da OS'!$D$8=Parâmetros!$B$4,
         IF(OR(B386="ALI",B386="AIE"),"Baixa",IF(OR(B386="EE",B386="SE",B386="CE"),"Média","-")),
         IF(OR('Dados da OS'!$D$8=Parâmetros!$B$5,'Dados da OS'!$D$8=Parâmetros!$B$6),"-"))))</f>
        <v>-</v>
      </c>
      <c r="P386" s="59" t="str">
        <f xml:space="preserve">
IF(OR(ISBLANK(B386),ISBLANK(C386),B386="N/A",ISBLANK('Dados da OS'!$D$8)),"",
   IF(OR('Dados da OS'!$D$8=Parâmetros!$B$3,'Dados da OS'!$D$8=Parâmetros!$B$4),
      IF(OR(AND(B386="INM",N386&lt;&gt;"VF"),AND(N386="VF",B386&lt;&gt;"INM")),"",
        IF(AND(B386="INM",N386="VF"),IF(ISBLANK(H386),"",M386*H386),
        IF('Dados da OS'!$D$8=Parâmetros!$B$4,
           IF(OR(B386="CE",B386="EE"),4,IF(B386="SE",5,IF(B386="ALI",7,IF(B386="AIE",5,"")))),
        IF('Dados da OS'!$D$8=Parâmetros!$B$3,
           IF(OR(ISBLANK(D386),ISBLANK(F386)),"",
              IF(B386="ALI",IF(L386="L",7,IF(L386="A",10,15)),
                 IF(B386="AIE",IF(L386="L",5,IF(L386="A",7,10)),
                    IF(B386="SE",IF(L386="L",4,IF(L386="A",5,7)),
                       IF(OR(B386="EE",B386="CE"),IF(L386="L",3,IF(L386="A",4,6)),""))))))))),
   IF('Dados da OS'!$D$8=Parâmetros!$B$5,
      IF(OR(AND(B386="INM",N386&lt;&gt;"VF"),AND(N386="VF",B386&lt;&gt;"INM")),"",
         IF(B386="INM",IF(N386="VF",M386*H386,""),
            IF(B386="PE",4.6,
            IF(B386="AL",7,"")))),
   IF('Dados da OS'!$D$8=Parâmetros!$B$6,
      IF(B386="ALI",35,IF(B386="AIE",15,"")),""))
    )
)</f>
        <v/>
      </c>
      <c r="Q386" s="60" t="str">
        <f t="shared" si="37"/>
        <v/>
      </c>
      <c r="R386" s="61"/>
      <c r="S386" s="62"/>
      <c r="T386" s="80" t="s">
        <v>21</v>
      </c>
      <c r="U386" s="81"/>
      <c r="V386" s="99"/>
      <c r="W386" s="55"/>
      <c r="X386" s="55"/>
      <c r="Y386" s="56"/>
      <c r="Z386" s="55"/>
      <c r="AA386" s="56"/>
      <c r="AB386" s="55"/>
      <c r="AC386" s="57" t="str">
        <f t="shared" si="38"/>
        <v/>
      </c>
      <c r="AD386" s="57" t="str">
        <f t="shared" si="39"/>
        <v/>
      </c>
      <c r="AE386" s="57" t="str">
        <f xml:space="preserve">
IF(OR('Dados da OS'!$D$8=Parâmetros!$B$3,'Dados da OS'!$D$8=Parâmetros!$B$4),
  IF(OR(ISBLANK(X386),ISBLANK(Z386)),
     IF(OR(V386="ALI",V386="AIE"),"L",IF(ISBLANK(V386),"","A")),
     IF(V386="EE",IF(Z386&gt;=3,IF(X386&gt;=5,"H","A"),
     IF(Z386&gt;=2,IF(X386&gt;=16,"H",IF(X386&lt;=4,"L","A")),IF(X386&lt;=15,"L","A"))),
     IF(OR(V386="SE",V386="CE"),IF(Z386&gt;=4,IF(X386&gt;=6,"H","A"),IF(Z386&gt;=2,IF(X386&gt;=20,"H",IF(X386&lt;=5,"L","A")),IF(X386&lt;=19,"L","A"))),
     IF(OR(V386="ALI",V386="AIE"),IF(Z386&gt;=6,IF(X386&gt;=20,"H","A"),IF(Z386&gt;=2,IF(X386&gt;=51,"H",IF(X386&lt;=19,"L","A")),IF(X386&lt;=50,"L","A"))))))),
IF('Dados da OS'!$D$8=Parâmetros!$B$6,"Indicativa",
IF('Dados da OS'!$D$8=Parâmetros!$B$5,"PFS","")))</f>
        <v/>
      </c>
      <c r="AF386" s="57">
        <f>IFERROR(VLOOKUP(W386,'Fatores de Impacto e INMs'!$A$3:$D$32,3,0),1)</f>
        <v>1</v>
      </c>
      <c r="AG386" s="57">
        <f>IFERROR(VLOOKUP(W386,'Fatores de Impacto e INMs'!$A$3:$E$32,5,0),1)</f>
        <v>1</v>
      </c>
      <c r="AH386" s="82" t="str">
        <f xml:space="preserve">
IF(OR('Dados da OS'!$D$8="Selecione o tipo da contagem",ISBLANK('Dados da OS'!$D$8),V386="INM",V386="N/A",ISBLANK(V386),ISBLANK(W386),AG386="VF"),"-",
   IF('Dados da OS'!$D$8=Parâmetros!$B$3,
      IF(OR(ISBLANK(X386),ISBLANK(Z386)),"-",
         IF(AE386="L","Baixa",IF(AE386="A","Média",IF(AE386="H","Alta","-")))),
      IF('Dados da OS'!$D$8=Parâmetros!$B$4,
         IF(OR(V386="ALI",V386="AIE"),"Baixa",IF(OR(V386="EE",V386="SE",V386="CE"),"Média","-")),
         IF(OR('Dados da OS'!$D$8=Parâmetros!$B$5,'Dados da OS'!$D$8=Parâmetros!$B$6),"-"))))</f>
        <v>-</v>
      </c>
      <c r="AI386" s="83" t="str">
        <f xml:space="preserve">
IF(OR(ISBLANK(V386),ISBLANK(U386),ISBLANK(W386),V386="N/A",ISBLANK('Dados da OS'!$D$8)),"",
   IF(OR('Dados da OS'!$D$8=Parâmetros!$B$3,'Dados da OS'!$D$8=Parâmetros!$B$4),
      IF(OR(AND(V386="INM",AG386&lt;&gt;"VF"),AND(AG386="VF",V386&lt;&gt;"INM")),"",
        IF(AND(V386="INM",AG386="VF"),IF(ISBLANK(AB386),"",AF386*AB386),
        IF('Dados da OS'!$D$8=Parâmetros!$B$4,
           IF(OR(V386="CE",V386="EE"),4,IF(V386="SE",5,IF(V386="ALI",7,IF(V386="AIE",5,"")))),
        IF('Dados da OS'!$D$8=Parâmetros!$B$3,
           IF(OR(ISBLANK(X386),ISBLANK(Z386)),"",
              IF(V386="ALI",IF(AE386="L",7,IF(AE386="A",10,15)),
                 IF(V386="AIE",IF(AE386="L",5,IF(AE386="A",7,10)),
                    IF(V386="SE",IF(AE386="L",4,IF(AE386="A",5,7)),
                       IF(OR(V386="EE",V386="CE"),IF(AE386="L",3,IF(AE386="A",4,6)),""))))))))),
   IF('Dados da OS'!$D$8=Parâmetros!$B$5,
      IF(OR(AND(V386="INM",AG386&lt;&gt;"VF"),AND(AG386="VF",V386&lt;&gt;"INM")),"",
         IF(V386="INM",IF(AG386="VF",AF386*AB386,""),
            IF(V386="PE",4.6,
            IF(V386="AL",7,"")))),
   IF('Dados da OS'!$D$8=Parâmetros!$B$6,
      IF(V386="ALI",35,IF(V386="AIE",15,"")),""))
    )
)</f>
        <v/>
      </c>
      <c r="AJ386" s="82" t="str">
        <f t="shared" si="40"/>
        <v/>
      </c>
      <c r="AK386" s="84"/>
      <c r="AL386" s="85" t="s">
        <v>21</v>
      </c>
      <c r="AM386" s="86"/>
      <c r="AN386" s="85"/>
      <c r="AO386" s="87"/>
      <c r="AP386" s="85"/>
      <c r="AQ386" s="86"/>
      <c r="AR386" s="85"/>
    </row>
    <row r="387" spans="1:44" ht="15.75" customHeight="1">
      <c r="A387" s="54"/>
      <c r="B387" s="100"/>
      <c r="C387" s="55"/>
      <c r="D387" s="55"/>
      <c r="E387" s="56"/>
      <c r="F387" s="55"/>
      <c r="G387" s="56"/>
      <c r="H387" s="55"/>
      <c r="I387" s="64"/>
      <c r="J387" s="57" t="str">
        <f t="shared" si="41"/>
        <v/>
      </c>
      <c r="K387" s="57" t="str">
        <f t="shared" si="42"/>
        <v/>
      </c>
      <c r="L387" s="57" t="str">
        <f xml:space="preserve">
IF(OR('Dados da OS'!$D$8=Parâmetros!$B$3,'Dados da OS'!$D$8=Parâmetros!$B$4),
  IF(OR(ISBLANK(D387),ISBLANK(F387)),
     IF(OR(B387="ALI",B387="AIE"),"L",IF(ISBLANK(B387),"","A")),
     IF(B387="EE",IF(F387&gt;=3,IF(D387&gt;=5,"H","A"),
     IF(F387&gt;=2,IF(D387&gt;=16,"H",IF(D387&lt;=4,"L","A")),IF(D387&lt;=15,"L","A"))),
     IF(OR(B387="SE",B387="CE"),IF(F387&gt;=4,IF(D387&gt;=6,"H","A"),IF(F387&gt;=2,IF(D387&gt;=20,"H",IF(D387&lt;=5,"L","A")),IF(D387&lt;=19,"L","A"))),
     IF(OR(B387="ALI",B387="AIE"),IF(F387&gt;=6,IF(D387&gt;=20,"H","A"),IF(F387&gt;=2,IF(D387&gt;=51,"H",IF(D387&lt;=19,"L","A")),IF(D387&lt;=50,"L","A"))))))),
IF('Dados da OS'!$D$8=Parâmetros!$B$6,"Indicativa",
IF('Dados da OS'!$D$8=Parâmetros!$B$5,"PFS","")))</f>
        <v/>
      </c>
      <c r="M387" s="57">
        <f>IFERROR(VLOOKUP(C387,'Fatores de Impacto e INMs'!$A$3:$D$32,3,0),1)</f>
        <v>1</v>
      </c>
      <c r="N387" s="57">
        <f>IFERROR(VLOOKUP(C387,'Fatores de Impacto e INMs'!$A$3:$E$32,5,0),1)</f>
        <v>1</v>
      </c>
      <c r="O387" s="63" t="str">
        <f xml:space="preserve">
IF(OR('Dados da OS'!$D$8="Selecione o tipo da contagem",ISBLANK('Dados da OS'!$D$8),B387="INM",B387="N/A",ISBLANK(B387),ISBLANK(C387),N387="VF"),"-",
   IF('Dados da OS'!$D$8=Parâmetros!$B$3,
      IF(OR(ISBLANK(D387),ISBLANK(F387)),"-",
         IF(L387="L","Baixa",IF(L387="A","Média",IF(L387="H","Alta","-")))),
      IF('Dados da OS'!$D$8=Parâmetros!$B$4,
         IF(OR(B387="ALI",B387="AIE"),"Baixa",IF(OR(B387="EE",B387="SE",B387="CE"),"Média","-")),
         IF(OR('Dados da OS'!$D$8=Parâmetros!$B$5,'Dados da OS'!$D$8=Parâmetros!$B$6),"-"))))</f>
        <v>-</v>
      </c>
      <c r="P387" s="59" t="str">
        <f xml:space="preserve">
IF(OR(ISBLANK(B387),ISBLANK(C387),B387="N/A",ISBLANK('Dados da OS'!$D$8)),"",
   IF(OR('Dados da OS'!$D$8=Parâmetros!$B$3,'Dados da OS'!$D$8=Parâmetros!$B$4),
      IF(OR(AND(B387="INM",N387&lt;&gt;"VF"),AND(N387="VF",B387&lt;&gt;"INM")),"",
        IF(AND(B387="INM",N387="VF"),IF(ISBLANK(H387),"",M387*H387),
        IF('Dados da OS'!$D$8=Parâmetros!$B$4,
           IF(OR(B387="CE",B387="EE"),4,IF(B387="SE",5,IF(B387="ALI",7,IF(B387="AIE",5,"")))),
        IF('Dados da OS'!$D$8=Parâmetros!$B$3,
           IF(OR(ISBLANK(D387),ISBLANK(F387)),"",
              IF(B387="ALI",IF(L387="L",7,IF(L387="A",10,15)),
                 IF(B387="AIE",IF(L387="L",5,IF(L387="A",7,10)),
                    IF(B387="SE",IF(L387="L",4,IF(L387="A",5,7)),
                       IF(OR(B387="EE",B387="CE"),IF(L387="L",3,IF(L387="A",4,6)),""))))))))),
   IF('Dados da OS'!$D$8=Parâmetros!$B$5,
      IF(OR(AND(B387="INM",N387&lt;&gt;"VF"),AND(N387="VF",B387&lt;&gt;"INM")),"",
         IF(B387="INM",IF(N387="VF",M387*H387,""),
            IF(B387="PE",4.6,
            IF(B387="AL",7,"")))),
   IF('Dados da OS'!$D$8=Parâmetros!$B$6,
      IF(B387="ALI",35,IF(B387="AIE",15,"")),""))
    )
)</f>
        <v/>
      </c>
      <c r="Q387" s="60" t="str">
        <f t="shared" si="37"/>
        <v/>
      </c>
      <c r="R387" s="61"/>
      <c r="S387" s="62"/>
      <c r="T387" s="80" t="s">
        <v>21</v>
      </c>
      <c r="U387" s="81"/>
      <c r="V387" s="99"/>
      <c r="W387" s="55"/>
      <c r="X387" s="55"/>
      <c r="Y387" s="56"/>
      <c r="Z387" s="55"/>
      <c r="AA387" s="56"/>
      <c r="AB387" s="55"/>
      <c r="AC387" s="57" t="str">
        <f t="shared" si="38"/>
        <v/>
      </c>
      <c r="AD387" s="57" t="str">
        <f t="shared" si="39"/>
        <v/>
      </c>
      <c r="AE387" s="57" t="str">
        <f xml:space="preserve">
IF(OR('Dados da OS'!$D$8=Parâmetros!$B$3,'Dados da OS'!$D$8=Parâmetros!$B$4),
  IF(OR(ISBLANK(X387),ISBLANK(Z387)),
     IF(OR(V387="ALI",V387="AIE"),"L",IF(ISBLANK(V387),"","A")),
     IF(V387="EE",IF(Z387&gt;=3,IF(X387&gt;=5,"H","A"),
     IF(Z387&gt;=2,IF(X387&gt;=16,"H",IF(X387&lt;=4,"L","A")),IF(X387&lt;=15,"L","A"))),
     IF(OR(V387="SE",V387="CE"),IF(Z387&gt;=4,IF(X387&gt;=6,"H","A"),IF(Z387&gt;=2,IF(X387&gt;=20,"H",IF(X387&lt;=5,"L","A")),IF(X387&lt;=19,"L","A"))),
     IF(OR(V387="ALI",V387="AIE"),IF(Z387&gt;=6,IF(X387&gt;=20,"H","A"),IF(Z387&gt;=2,IF(X387&gt;=51,"H",IF(X387&lt;=19,"L","A")),IF(X387&lt;=50,"L","A"))))))),
IF('Dados da OS'!$D$8=Parâmetros!$B$6,"Indicativa",
IF('Dados da OS'!$D$8=Parâmetros!$B$5,"PFS","")))</f>
        <v/>
      </c>
      <c r="AF387" s="57">
        <f>IFERROR(VLOOKUP(W387,'Fatores de Impacto e INMs'!$A$3:$D$32,3,0),1)</f>
        <v>1</v>
      </c>
      <c r="AG387" s="57">
        <f>IFERROR(VLOOKUP(W387,'Fatores de Impacto e INMs'!$A$3:$E$32,5,0),1)</f>
        <v>1</v>
      </c>
      <c r="AH387" s="82" t="str">
        <f xml:space="preserve">
IF(OR('Dados da OS'!$D$8="Selecione o tipo da contagem",ISBLANK('Dados da OS'!$D$8),V387="INM",V387="N/A",ISBLANK(V387),ISBLANK(W387),AG387="VF"),"-",
   IF('Dados da OS'!$D$8=Parâmetros!$B$3,
      IF(OR(ISBLANK(X387),ISBLANK(Z387)),"-",
         IF(AE387="L","Baixa",IF(AE387="A","Média",IF(AE387="H","Alta","-")))),
      IF('Dados da OS'!$D$8=Parâmetros!$B$4,
         IF(OR(V387="ALI",V387="AIE"),"Baixa",IF(OR(V387="EE",V387="SE",V387="CE"),"Média","-")),
         IF(OR('Dados da OS'!$D$8=Parâmetros!$B$5,'Dados da OS'!$D$8=Parâmetros!$B$6),"-"))))</f>
        <v>-</v>
      </c>
      <c r="AI387" s="83" t="str">
        <f xml:space="preserve">
IF(OR(ISBLANK(V387),ISBLANK(U387),ISBLANK(W387),V387="N/A",ISBLANK('Dados da OS'!$D$8)),"",
   IF(OR('Dados da OS'!$D$8=Parâmetros!$B$3,'Dados da OS'!$D$8=Parâmetros!$B$4),
      IF(OR(AND(V387="INM",AG387&lt;&gt;"VF"),AND(AG387="VF",V387&lt;&gt;"INM")),"",
        IF(AND(V387="INM",AG387="VF"),IF(ISBLANK(AB387),"",AF387*AB387),
        IF('Dados da OS'!$D$8=Parâmetros!$B$4,
           IF(OR(V387="CE",V387="EE"),4,IF(V387="SE",5,IF(V387="ALI",7,IF(V387="AIE",5,"")))),
        IF('Dados da OS'!$D$8=Parâmetros!$B$3,
           IF(OR(ISBLANK(X387),ISBLANK(Z387)),"",
              IF(V387="ALI",IF(AE387="L",7,IF(AE387="A",10,15)),
                 IF(V387="AIE",IF(AE387="L",5,IF(AE387="A",7,10)),
                    IF(V387="SE",IF(AE387="L",4,IF(AE387="A",5,7)),
                       IF(OR(V387="EE",V387="CE"),IF(AE387="L",3,IF(AE387="A",4,6)),""))))))))),
   IF('Dados da OS'!$D$8=Parâmetros!$B$5,
      IF(OR(AND(V387="INM",AG387&lt;&gt;"VF"),AND(AG387="VF",V387&lt;&gt;"INM")),"",
         IF(V387="INM",IF(AG387="VF",AF387*AB387,""),
            IF(V387="PE",4.6,
            IF(V387="AL",7,"")))),
   IF('Dados da OS'!$D$8=Parâmetros!$B$6,
      IF(V387="ALI",35,IF(V387="AIE",15,"")),""))
    )
)</f>
        <v/>
      </c>
      <c r="AJ387" s="82" t="str">
        <f t="shared" si="40"/>
        <v/>
      </c>
      <c r="AK387" s="84"/>
      <c r="AL387" s="85" t="s">
        <v>21</v>
      </c>
      <c r="AM387" s="86"/>
      <c r="AN387" s="85"/>
      <c r="AO387" s="87"/>
      <c r="AP387" s="85"/>
      <c r="AQ387" s="86"/>
      <c r="AR387" s="85"/>
    </row>
    <row r="388" spans="1:44" ht="15.75" customHeight="1">
      <c r="A388" s="54"/>
      <c r="B388" s="100"/>
      <c r="C388" s="55"/>
      <c r="D388" s="55"/>
      <c r="E388" s="56"/>
      <c r="F388" s="55"/>
      <c r="G388" s="56"/>
      <c r="H388" s="55"/>
      <c r="I388" s="64"/>
      <c r="J388" s="57" t="str">
        <f t="shared" si="41"/>
        <v/>
      </c>
      <c r="K388" s="57" t="str">
        <f t="shared" si="42"/>
        <v/>
      </c>
      <c r="L388" s="57" t="str">
        <f xml:space="preserve">
IF(OR('Dados da OS'!$D$8=Parâmetros!$B$3,'Dados da OS'!$D$8=Parâmetros!$B$4),
  IF(OR(ISBLANK(D388),ISBLANK(F388)),
     IF(OR(B388="ALI",B388="AIE"),"L",IF(ISBLANK(B388),"","A")),
     IF(B388="EE",IF(F388&gt;=3,IF(D388&gt;=5,"H","A"),
     IF(F388&gt;=2,IF(D388&gt;=16,"H",IF(D388&lt;=4,"L","A")),IF(D388&lt;=15,"L","A"))),
     IF(OR(B388="SE",B388="CE"),IF(F388&gt;=4,IF(D388&gt;=6,"H","A"),IF(F388&gt;=2,IF(D388&gt;=20,"H",IF(D388&lt;=5,"L","A")),IF(D388&lt;=19,"L","A"))),
     IF(OR(B388="ALI",B388="AIE"),IF(F388&gt;=6,IF(D388&gt;=20,"H","A"),IF(F388&gt;=2,IF(D388&gt;=51,"H",IF(D388&lt;=19,"L","A")),IF(D388&lt;=50,"L","A"))))))),
IF('Dados da OS'!$D$8=Parâmetros!$B$6,"Indicativa",
IF('Dados da OS'!$D$8=Parâmetros!$B$5,"PFS","")))</f>
        <v/>
      </c>
      <c r="M388" s="57">
        <f>IFERROR(VLOOKUP(C388,'Fatores de Impacto e INMs'!$A$3:$D$32,3,0),1)</f>
        <v>1</v>
      </c>
      <c r="N388" s="57">
        <f>IFERROR(VLOOKUP(C388,'Fatores de Impacto e INMs'!$A$3:$E$32,5,0),1)</f>
        <v>1</v>
      </c>
      <c r="O388" s="63" t="str">
        <f xml:space="preserve">
IF(OR('Dados da OS'!$D$8="Selecione o tipo da contagem",ISBLANK('Dados da OS'!$D$8),B388="INM",B388="N/A",ISBLANK(B388),ISBLANK(C388),N388="VF"),"-",
   IF('Dados da OS'!$D$8=Parâmetros!$B$3,
      IF(OR(ISBLANK(D388),ISBLANK(F388)),"-",
         IF(L388="L","Baixa",IF(L388="A","Média",IF(L388="H","Alta","-")))),
      IF('Dados da OS'!$D$8=Parâmetros!$B$4,
         IF(OR(B388="ALI",B388="AIE"),"Baixa",IF(OR(B388="EE",B388="SE",B388="CE"),"Média","-")),
         IF(OR('Dados da OS'!$D$8=Parâmetros!$B$5,'Dados da OS'!$D$8=Parâmetros!$B$6),"-"))))</f>
        <v>-</v>
      </c>
      <c r="P388" s="59" t="str">
        <f xml:space="preserve">
IF(OR(ISBLANK(B388),ISBLANK(C388),B388="N/A",ISBLANK('Dados da OS'!$D$8)),"",
   IF(OR('Dados da OS'!$D$8=Parâmetros!$B$3,'Dados da OS'!$D$8=Parâmetros!$B$4),
      IF(OR(AND(B388="INM",N388&lt;&gt;"VF"),AND(N388="VF",B388&lt;&gt;"INM")),"",
        IF(AND(B388="INM",N388="VF"),IF(ISBLANK(H388),"",M388*H388),
        IF('Dados da OS'!$D$8=Parâmetros!$B$4,
           IF(OR(B388="CE",B388="EE"),4,IF(B388="SE",5,IF(B388="ALI",7,IF(B388="AIE",5,"")))),
        IF('Dados da OS'!$D$8=Parâmetros!$B$3,
           IF(OR(ISBLANK(D388),ISBLANK(F388)),"",
              IF(B388="ALI",IF(L388="L",7,IF(L388="A",10,15)),
                 IF(B388="AIE",IF(L388="L",5,IF(L388="A",7,10)),
                    IF(B388="SE",IF(L388="L",4,IF(L388="A",5,7)),
                       IF(OR(B388="EE",B388="CE"),IF(L388="L",3,IF(L388="A",4,6)),""))))))))),
   IF('Dados da OS'!$D$8=Parâmetros!$B$5,
      IF(OR(AND(B388="INM",N388&lt;&gt;"VF"),AND(N388="VF",B388&lt;&gt;"INM")),"",
         IF(B388="INM",IF(N388="VF",M388*H388,""),
            IF(B388="PE",4.6,
            IF(B388="AL",7,"")))),
   IF('Dados da OS'!$D$8=Parâmetros!$B$6,
      IF(B388="ALI",35,IF(B388="AIE",15,"")),""))
    )
)</f>
        <v/>
      </c>
      <c r="Q388" s="60" t="str">
        <f t="shared" si="37"/>
        <v/>
      </c>
      <c r="R388" s="61"/>
      <c r="S388" s="62"/>
      <c r="T388" s="80" t="s">
        <v>21</v>
      </c>
      <c r="U388" s="81"/>
      <c r="V388" s="99"/>
      <c r="W388" s="55"/>
      <c r="X388" s="55"/>
      <c r="Y388" s="56"/>
      <c r="Z388" s="55"/>
      <c r="AA388" s="56"/>
      <c r="AB388" s="55"/>
      <c r="AC388" s="57" t="str">
        <f t="shared" si="38"/>
        <v/>
      </c>
      <c r="AD388" s="57" t="str">
        <f t="shared" si="39"/>
        <v/>
      </c>
      <c r="AE388" s="57" t="str">
        <f xml:space="preserve">
IF(OR('Dados da OS'!$D$8=Parâmetros!$B$3,'Dados da OS'!$D$8=Parâmetros!$B$4),
  IF(OR(ISBLANK(X388),ISBLANK(Z388)),
     IF(OR(V388="ALI",V388="AIE"),"L",IF(ISBLANK(V388),"","A")),
     IF(V388="EE",IF(Z388&gt;=3,IF(X388&gt;=5,"H","A"),
     IF(Z388&gt;=2,IF(X388&gt;=16,"H",IF(X388&lt;=4,"L","A")),IF(X388&lt;=15,"L","A"))),
     IF(OR(V388="SE",V388="CE"),IF(Z388&gt;=4,IF(X388&gt;=6,"H","A"),IF(Z388&gt;=2,IF(X388&gt;=20,"H",IF(X388&lt;=5,"L","A")),IF(X388&lt;=19,"L","A"))),
     IF(OR(V388="ALI",V388="AIE"),IF(Z388&gt;=6,IF(X388&gt;=20,"H","A"),IF(Z388&gt;=2,IF(X388&gt;=51,"H",IF(X388&lt;=19,"L","A")),IF(X388&lt;=50,"L","A"))))))),
IF('Dados da OS'!$D$8=Parâmetros!$B$6,"Indicativa",
IF('Dados da OS'!$D$8=Parâmetros!$B$5,"PFS","")))</f>
        <v/>
      </c>
      <c r="AF388" s="57">
        <f>IFERROR(VLOOKUP(W388,'Fatores de Impacto e INMs'!$A$3:$D$32,3,0),1)</f>
        <v>1</v>
      </c>
      <c r="AG388" s="57">
        <f>IFERROR(VLOOKUP(W388,'Fatores de Impacto e INMs'!$A$3:$E$32,5,0),1)</f>
        <v>1</v>
      </c>
      <c r="AH388" s="82" t="str">
        <f xml:space="preserve">
IF(OR('Dados da OS'!$D$8="Selecione o tipo da contagem",ISBLANK('Dados da OS'!$D$8),V388="INM",V388="N/A",ISBLANK(V388),ISBLANK(W388),AG388="VF"),"-",
   IF('Dados da OS'!$D$8=Parâmetros!$B$3,
      IF(OR(ISBLANK(X388),ISBLANK(Z388)),"-",
         IF(AE388="L","Baixa",IF(AE388="A","Média",IF(AE388="H","Alta","-")))),
      IF('Dados da OS'!$D$8=Parâmetros!$B$4,
         IF(OR(V388="ALI",V388="AIE"),"Baixa",IF(OR(V388="EE",V388="SE",V388="CE"),"Média","-")),
         IF(OR('Dados da OS'!$D$8=Parâmetros!$B$5,'Dados da OS'!$D$8=Parâmetros!$B$6),"-"))))</f>
        <v>-</v>
      </c>
      <c r="AI388" s="83" t="str">
        <f xml:space="preserve">
IF(OR(ISBLANK(V388),ISBLANK(U388),ISBLANK(W388),V388="N/A",ISBLANK('Dados da OS'!$D$8)),"",
   IF(OR('Dados da OS'!$D$8=Parâmetros!$B$3,'Dados da OS'!$D$8=Parâmetros!$B$4),
      IF(OR(AND(V388="INM",AG388&lt;&gt;"VF"),AND(AG388="VF",V388&lt;&gt;"INM")),"",
        IF(AND(V388="INM",AG388="VF"),IF(ISBLANK(AB388),"",AF388*AB388),
        IF('Dados da OS'!$D$8=Parâmetros!$B$4,
           IF(OR(V388="CE",V388="EE"),4,IF(V388="SE",5,IF(V388="ALI",7,IF(V388="AIE",5,"")))),
        IF('Dados da OS'!$D$8=Parâmetros!$B$3,
           IF(OR(ISBLANK(X388),ISBLANK(Z388)),"",
              IF(V388="ALI",IF(AE388="L",7,IF(AE388="A",10,15)),
                 IF(V388="AIE",IF(AE388="L",5,IF(AE388="A",7,10)),
                    IF(V388="SE",IF(AE388="L",4,IF(AE388="A",5,7)),
                       IF(OR(V388="EE",V388="CE"),IF(AE388="L",3,IF(AE388="A",4,6)),""))))))))),
   IF('Dados da OS'!$D$8=Parâmetros!$B$5,
      IF(OR(AND(V388="INM",AG388&lt;&gt;"VF"),AND(AG388="VF",V388&lt;&gt;"INM")),"",
         IF(V388="INM",IF(AG388="VF",AF388*AB388,""),
            IF(V388="PE",4.6,
            IF(V388="AL",7,"")))),
   IF('Dados da OS'!$D$8=Parâmetros!$B$6,
      IF(V388="ALI",35,IF(V388="AIE",15,"")),""))
    )
)</f>
        <v/>
      </c>
      <c r="AJ388" s="82" t="str">
        <f t="shared" si="40"/>
        <v/>
      </c>
      <c r="AK388" s="84"/>
      <c r="AL388" s="85" t="s">
        <v>21</v>
      </c>
      <c r="AM388" s="86"/>
      <c r="AN388" s="85"/>
      <c r="AO388" s="87"/>
      <c r="AP388" s="85"/>
      <c r="AQ388" s="86"/>
      <c r="AR388" s="85"/>
    </row>
    <row r="389" spans="1:44" ht="15.75" customHeight="1">
      <c r="A389" s="54"/>
      <c r="B389" s="100"/>
      <c r="C389" s="55"/>
      <c r="D389" s="55"/>
      <c r="E389" s="56"/>
      <c r="F389" s="55"/>
      <c r="G389" s="56"/>
      <c r="H389" s="55"/>
      <c r="I389" s="64"/>
      <c r="J389" s="57" t="str">
        <f t="shared" si="41"/>
        <v/>
      </c>
      <c r="K389" s="57" t="str">
        <f t="shared" si="42"/>
        <v/>
      </c>
      <c r="L389" s="57" t="str">
        <f xml:space="preserve">
IF(OR('Dados da OS'!$D$8=Parâmetros!$B$3,'Dados da OS'!$D$8=Parâmetros!$B$4),
  IF(OR(ISBLANK(D389),ISBLANK(F389)),
     IF(OR(B389="ALI",B389="AIE"),"L",IF(ISBLANK(B389),"","A")),
     IF(B389="EE",IF(F389&gt;=3,IF(D389&gt;=5,"H","A"),
     IF(F389&gt;=2,IF(D389&gt;=16,"H",IF(D389&lt;=4,"L","A")),IF(D389&lt;=15,"L","A"))),
     IF(OR(B389="SE",B389="CE"),IF(F389&gt;=4,IF(D389&gt;=6,"H","A"),IF(F389&gt;=2,IF(D389&gt;=20,"H",IF(D389&lt;=5,"L","A")),IF(D389&lt;=19,"L","A"))),
     IF(OR(B389="ALI",B389="AIE"),IF(F389&gt;=6,IF(D389&gt;=20,"H","A"),IF(F389&gt;=2,IF(D389&gt;=51,"H",IF(D389&lt;=19,"L","A")),IF(D389&lt;=50,"L","A"))))))),
IF('Dados da OS'!$D$8=Parâmetros!$B$6,"Indicativa",
IF('Dados da OS'!$D$8=Parâmetros!$B$5,"PFS","")))</f>
        <v/>
      </c>
      <c r="M389" s="57">
        <f>IFERROR(VLOOKUP(C389,'Fatores de Impacto e INMs'!$A$3:$D$32,3,0),1)</f>
        <v>1</v>
      </c>
      <c r="N389" s="57">
        <f>IFERROR(VLOOKUP(C389,'Fatores de Impacto e INMs'!$A$3:$E$32,5,0),1)</f>
        <v>1</v>
      </c>
      <c r="O389" s="63" t="str">
        <f xml:space="preserve">
IF(OR('Dados da OS'!$D$8="Selecione o tipo da contagem",ISBLANK('Dados da OS'!$D$8),B389="INM",B389="N/A",ISBLANK(B389),ISBLANK(C389),N389="VF"),"-",
   IF('Dados da OS'!$D$8=Parâmetros!$B$3,
      IF(OR(ISBLANK(D389),ISBLANK(F389)),"-",
         IF(L389="L","Baixa",IF(L389="A","Média",IF(L389="H","Alta","-")))),
      IF('Dados da OS'!$D$8=Parâmetros!$B$4,
         IF(OR(B389="ALI",B389="AIE"),"Baixa",IF(OR(B389="EE",B389="SE",B389="CE"),"Média","-")),
         IF(OR('Dados da OS'!$D$8=Parâmetros!$B$5,'Dados da OS'!$D$8=Parâmetros!$B$6),"-"))))</f>
        <v>-</v>
      </c>
      <c r="P389" s="59" t="str">
        <f xml:space="preserve">
IF(OR(ISBLANK(B389),ISBLANK(C389),B389="N/A",ISBLANK('Dados da OS'!$D$8)),"",
   IF(OR('Dados da OS'!$D$8=Parâmetros!$B$3,'Dados da OS'!$D$8=Parâmetros!$B$4),
      IF(OR(AND(B389="INM",N389&lt;&gt;"VF"),AND(N389="VF",B389&lt;&gt;"INM")),"",
        IF(AND(B389="INM",N389="VF"),IF(ISBLANK(H389),"",M389*H389),
        IF('Dados da OS'!$D$8=Parâmetros!$B$4,
           IF(OR(B389="CE",B389="EE"),4,IF(B389="SE",5,IF(B389="ALI",7,IF(B389="AIE",5,"")))),
        IF('Dados da OS'!$D$8=Parâmetros!$B$3,
           IF(OR(ISBLANK(D389),ISBLANK(F389)),"",
              IF(B389="ALI",IF(L389="L",7,IF(L389="A",10,15)),
                 IF(B389="AIE",IF(L389="L",5,IF(L389="A",7,10)),
                    IF(B389="SE",IF(L389="L",4,IF(L389="A",5,7)),
                       IF(OR(B389="EE",B389="CE"),IF(L389="L",3,IF(L389="A",4,6)),""))))))))),
   IF('Dados da OS'!$D$8=Parâmetros!$B$5,
      IF(OR(AND(B389="INM",N389&lt;&gt;"VF"),AND(N389="VF",B389&lt;&gt;"INM")),"",
         IF(B389="INM",IF(N389="VF",M389*H389,""),
            IF(B389="PE",4.6,
            IF(B389="AL",7,"")))),
   IF('Dados da OS'!$D$8=Parâmetros!$B$6,
      IF(B389="ALI",35,IF(B389="AIE",15,"")),""))
    )
)</f>
        <v/>
      </c>
      <c r="Q389" s="60" t="str">
        <f t="shared" ref="Q389:Q452" si="43">IF(P389="","",IF(B389="INM",P389,P389*M389))</f>
        <v/>
      </c>
      <c r="R389" s="61"/>
      <c r="S389" s="62"/>
      <c r="T389" s="80" t="s">
        <v>21</v>
      </c>
      <c r="U389" s="81"/>
      <c r="V389" s="99"/>
      <c r="W389" s="55"/>
      <c r="X389" s="55"/>
      <c r="Y389" s="56"/>
      <c r="Z389" s="55"/>
      <c r="AA389" s="56"/>
      <c r="AB389" s="55"/>
      <c r="AC389" s="57" t="str">
        <f t="shared" ref="AC389:AC452" si="44">CONCATENATE(V389,AE389)</f>
        <v/>
      </c>
      <c r="AD389" s="57" t="str">
        <f t="shared" ref="AD389:AD452" si="45">CONCATENATE(V389,W389,AE389,AJ389)</f>
        <v/>
      </c>
      <c r="AE389" s="57" t="str">
        <f xml:space="preserve">
IF(OR('Dados da OS'!$D$8=Parâmetros!$B$3,'Dados da OS'!$D$8=Parâmetros!$B$4),
  IF(OR(ISBLANK(X389),ISBLANK(Z389)),
     IF(OR(V389="ALI",V389="AIE"),"L",IF(ISBLANK(V389),"","A")),
     IF(V389="EE",IF(Z389&gt;=3,IF(X389&gt;=5,"H","A"),
     IF(Z389&gt;=2,IF(X389&gt;=16,"H",IF(X389&lt;=4,"L","A")),IF(X389&lt;=15,"L","A"))),
     IF(OR(V389="SE",V389="CE"),IF(Z389&gt;=4,IF(X389&gt;=6,"H","A"),IF(Z389&gt;=2,IF(X389&gt;=20,"H",IF(X389&lt;=5,"L","A")),IF(X389&lt;=19,"L","A"))),
     IF(OR(V389="ALI",V389="AIE"),IF(Z389&gt;=6,IF(X389&gt;=20,"H","A"),IF(Z389&gt;=2,IF(X389&gt;=51,"H",IF(X389&lt;=19,"L","A")),IF(X389&lt;=50,"L","A"))))))),
IF('Dados da OS'!$D$8=Parâmetros!$B$6,"Indicativa",
IF('Dados da OS'!$D$8=Parâmetros!$B$5,"PFS","")))</f>
        <v/>
      </c>
      <c r="AF389" s="57">
        <f>IFERROR(VLOOKUP(W389,'Fatores de Impacto e INMs'!$A$3:$D$32,3,0),1)</f>
        <v>1</v>
      </c>
      <c r="AG389" s="57">
        <f>IFERROR(VLOOKUP(W389,'Fatores de Impacto e INMs'!$A$3:$E$32,5,0),1)</f>
        <v>1</v>
      </c>
      <c r="AH389" s="82" t="str">
        <f xml:space="preserve">
IF(OR('Dados da OS'!$D$8="Selecione o tipo da contagem",ISBLANK('Dados da OS'!$D$8),V389="INM",V389="N/A",ISBLANK(V389),ISBLANK(W389),AG389="VF"),"-",
   IF('Dados da OS'!$D$8=Parâmetros!$B$3,
      IF(OR(ISBLANK(X389),ISBLANK(Z389)),"-",
         IF(AE389="L","Baixa",IF(AE389="A","Média",IF(AE389="H","Alta","-")))),
      IF('Dados da OS'!$D$8=Parâmetros!$B$4,
         IF(OR(V389="ALI",V389="AIE"),"Baixa",IF(OR(V389="EE",V389="SE",V389="CE"),"Média","-")),
         IF(OR('Dados da OS'!$D$8=Parâmetros!$B$5,'Dados da OS'!$D$8=Parâmetros!$B$6),"-"))))</f>
        <v>-</v>
      </c>
      <c r="AI389" s="83" t="str">
        <f xml:space="preserve">
IF(OR(ISBLANK(V389),ISBLANK(U389),ISBLANK(W389),V389="N/A",ISBLANK('Dados da OS'!$D$8)),"",
   IF(OR('Dados da OS'!$D$8=Parâmetros!$B$3,'Dados da OS'!$D$8=Parâmetros!$B$4),
      IF(OR(AND(V389="INM",AG389&lt;&gt;"VF"),AND(AG389="VF",V389&lt;&gt;"INM")),"",
        IF(AND(V389="INM",AG389="VF"),IF(ISBLANK(AB389),"",AF389*AB389),
        IF('Dados da OS'!$D$8=Parâmetros!$B$4,
           IF(OR(V389="CE",V389="EE"),4,IF(V389="SE",5,IF(V389="ALI",7,IF(V389="AIE",5,"")))),
        IF('Dados da OS'!$D$8=Parâmetros!$B$3,
           IF(OR(ISBLANK(X389),ISBLANK(Z389)),"",
              IF(V389="ALI",IF(AE389="L",7,IF(AE389="A",10,15)),
                 IF(V389="AIE",IF(AE389="L",5,IF(AE389="A",7,10)),
                    IF(V389="SE",IF(AE389="L",4,IF(AE389="A",5,7)),
                       IF(OR(V389="EE",V389="CE"),IF(AE389="L",3,IF(AE389="A",4,6)),""))))))))),
   IF('Dados da OS'!$D$8=Parâmetros!$B$5,
      IF(OR(AND(V389="INM",AG389&lt;&gt;"VF"),AND(AG389="VF",V389&lt;&gt;"INM")),"",
         IF(V389="INM",IF(AG389="VF",AF389*AB389,""),
            IF(V389="PE",4.6,
            IF(V389="AL",7,"")))),
   IF('Dados da OS'!$D$8=Parâmetros!$B$6,
      IF(V389="ALI",35,IF(V389="AIE",15,"")),""))
    )
)</f>
        <v/>
      </c>
      <c r="AJ389" s="82" t="str">
        <f t="shared" ref="AJ389:AJ452" si="46">IF(AI389="","",IF(V389="INM",AI389,AI389*AF389))</f>
        <v/>
      </c>
      <c r="AK389" s="84"/>
      <c r="AL389" s="85" t="s">
        <v>21</v>
      </c>
      <c r="AM389" s="86"/>
      <c r="AN389" s="85"/>
      <c r="AO389" s="87"/>
      <c r="AP389" s="85"/>
      <c r="AQ389" s="86"/>
      <c r="AR389" s="85"/>
    </row>
    <row r="390" spans="1:44" ht="15.75" customHeight="1">
      <c r="A390" s="54"/>
      <c r="B390" s="100"/>
      <c r="C390" s="55"/>
      <c r="D390" s="55"/>
      <c r="E390" s="56"/>
      <c r="F390" s="55"/>
      <c r="G390" s="56"/>
      <c r="H390" s="55"/>
      <c r="I390" s="64"/>
      <c r="J390" s="57" t="str">
        <f t="shared" si="41"/>
        <v/>
      </c>
      <c r="K390" s="57" t="str">
        <f t="shared" si="42"/>
        <v/>
      </c>
      <c r="L390" s="57" t="str">
        <f xml:space="preserve">
IF(OR('Dados da OS'!$D$8=Parâmetros!$B$3,'Dados da OS'!$D$8=Parâmetros!$B$4),
  IF(OR(ISBLANK(D390),ISBLANK(F390)),
     IF(OR(B390="ALI",B390="AIE"),"L",IF(ISBLANK(B390),"","A")),
     IF(B390="EE",IF(F390&gt;=3,IF(D390&gt;=5,"H","A"),
     IF(F390&gt;=2,IF(D390&gt;=16,"H",IF(D390&lt;=4,"L","A")),IF(D390&lt;=15,"L","A"))),
     IF(OR(B390="SE",B390="CE"),IF(F390&gt;=4,IF(D390&gt;=6,"H","A"),IF(F390&gt;=2,IF(D390&gt;=20,"H",IF(D390&lt;=5,"L","A")),IF(D390&lt;=19,"L","A"))),
     IF(OR(B390="ALI",B390="AIE"),IF(F390&gt;=6,IF(D390&gt;=20,"H","A"),IF(F390&gt;=2,IF(D390&gt;=51,"H",IF(D390&lt;=19,"L","A")),IF(D390&lt;=50,"L","A"))))))),
IF('Dados da OS'!$D$8=Parâmetros!$B$6,"Indicativa",
IF('Dados da OS'!$D$8=Parâmetros!$B$5,"PFS","")))</f>
        <v/>
      </c>
      <c r="M390" s="57">
        <f>IFERROR(VLOOKUP(C390,'Fatores de Impacto e INMs'!$A$3:$D$32,3,0),1)</f>
        <v>1</v>
      </c>
      <c r="N390" s="57">
        <f>IFERROR(VLOOKUP(C390,'Fatores de Impacto e INMs'!$A$3:$E$32,5,0),1)</f>
        <v>1</v>
      </c>
      <c r="O390" s="63" t="str">
        <f xml:space="preserve">
IF(OR('Dados da OS'!$D$8="Selecione o tipo da contagem",ISBLANK('Dados da OS'!$D$8),B390="INM",B390="N/A",ISBLANK(B390),ISBLANK(C390),N390="VF"),"-",
   IF('Dados da OS'!$D$8=Parâmetros!$B$3,
      IF(OR(ISBLANK(D390),ISBLANK(F390)),"-",
         IF(L390="L","Baixa",IF(L390="A","Média",IF(L390="H","Alta","-")))),
      IF('Dados da OS'!$D$8=Parâmetros!$B$4,
         IF(OR(B390="ALI",B390="AIE"),"Baixa",IF(OR(B390="EE",B390="SE",B390="CE"),"Média","-")),
         IF(OR('Dados da OS'!$D$8=Parâmetros!$B$5,'Dados da OS'!$D$8=Parâmetros!$B$6),"-"))))</f>
        <v>-</v>
      </c>
      <c r="P390" s="59" t="str">
        <f xml:space="preserve">
IF(OR(ISBLANK(B390),ISBLANK(C390),B390="N/A",ISBLANK('Dados da OS'!$D$8)),"",
   IF(OR('Dados da OS'!$D$8=Parâmetros!$B$3,'Dados da OS'!$D$8=Parâmetros!$B$4),
      IF(OR(AND(B390="INM",N390&lt;&gt;"VF"),AND(N390="VF",B390&lt;&gt;"INM")),"",
        IF(AND(B390="INM",N390="VF"),IF(ISBLANK(H390),"",M390*H390),
        IF('Dados da OS'!$D$8=Parâmetros!$B$4,
           IF(OR(B390="CE",B390="EE"),4,IF(B390="SE",5,IF(B390="ALI",7,IF(B390="AIE",5,"")))),
        IF('Dados da OS'!$D$8=Parâmetros!$B$3,
           IF(OR(ISBLANK(D390),ISBLANK(F390)),"",
              IF(B390="ALI",IF(L390="L",7,IF(L390="A",10,15)),
                 IF(B390="AIE",IF(L390="L",5,IF(L390="A",7,10)),
                    IF(B390="SE",IF(L390="L",4,IF(L390="A",5,7)),
                       IF(OR(B390="EE",B390="CE"),IF(L390="L",3,IF(L390="A",4,6)),""))))))))),
   IF('Dados da OS'!$D$8=Parâmetros!$B$5,
      IF(OR(AND(B390="INM",N390&lt;&gt;"VF"),AND(N390="VF",B390&lt;&gt;"INM")),"",
         IF(B390="INM",IF(N390="VF",M390*H390,""),
            IF(B390="PE",4.6,
            IF(B390="AL",7,"")))),
   IF('Dados da OS'!$D$8=Parâmetros!$B$6,
      IF(B390="ALI",35,IF(B390="AIE",15,"")),""))
    )
)</f>
        <v/>
      </c>
      <c r="Q390" s="60" t="str">
        <f t="shared" si="43"/>
        <v/>
      </c>
      <c r="R390" s="61"/>
      <c r="S390" s="62"/>
      <c r="T390" s="80" t="s">
        <v>21</v>
      </c>
      <c r="U390" s="81"/>
      <c r="V390" s="99"/>
      <c r="W390" s="55"/>
      <c r="X390" s="55"/>
      <c r="Y390" s="56"/>
      <c r="Z390" s="55"/>
      <c r="AA390" s="56"/>
      <c r="AB390" s="55"/>
      <c r="AC390" s="57" t="str">
        <f t="shared" si="44"/>
        <v/>
      </c>
      <c r="AD390" s="57" t="str">
        <f t="shared" si="45"/>
        <v/>
      </c>
      <c r="AE390" s="57" t="str">
        <f xml:space="preserve">
IF(OR('Dados da OS'!$D$8=Parâmetros!$B$3,'Dados da OS'!$D$8=Parâmetros!$B$4),
  IF(OR(ISBLANK(X390),ISBLANK(Z390)),
     IF(OR(V390="ALI",V390="AIE"),"L",IF(ISBLANK(V390),"","A")),
     IF(V390="EE",IF(Z390&gt;=3,IF(X390&gt;=5,"H","A"),
     IF(Z390&gt;=2,IF(X390&gt;=16,"H",IF(X390&lt;=4,"L","A")),IF(X390&lt;=15,"L","A"))),
     IF(OR(V390="SE",V390="CE"),IF(Z390&gt;=4,IF(X390&gt;=6,"H","A"),IF(Z390&gt;=2,IF(X390&gt;=20,"H",IF(X390&lt;=5,"L","A")),IF(X390&lt;=19,"L","A"))),
     IF(OR(V390="ALI",V390="AIE"),IF(Z390&gt;=6,IF(X390&gt;=20,"H","A"),IF(Z390&gt;=2,IF(X390&gt;=51,"H",IF(X390&lt;=19,"L","A")),IF(X390&lt;=50,"L","A"))))))),
IF('Dados da OS'!$D$8=Parâmetros!$B$6,"Indicativa",
IF('Dados da OS'!$D$8=Parâmetros!$B$5,"PFS","")))</f>
        <v/>
      </c>
      <c r="AF390" s="57">
        <f>IFERROR(VLOOKUP(W390,'Fatores de Impacto e INMs'!$A$3:$D$32,3,0),1)</f>
        <v>1</v>
      </c>
      <c r="AG390" s="57">
        <f>IFERROR(VLOOKUP(W390,'Fatores de Impacto e INMs'!$A$3:$E$32,5,0),1)</f>
        <v>1</v>
      </c>
      <c r="AH390" s="82" t="str">
        <f xml:space="preserve">
IF(OR('Dados da OS'!$D$8="Selecione o tipo da contagem",ISBLANK('Dados da OS'!$D$8),V390="INM",V390="N/A",ISBLANK(V390),ISBLANK(W390),AG390="VF"),"-",
   IF('Dados da OS'!$D$8=Parâmetros!$B$3,
      IF(OR(ISBLANK(X390),ISBLANK(Z390)),"-",
         IF(AE390="L","Baixa",IF(AE390="A","Média",IF(AE390="H","Alta","-")))),
      IF('Dados da OS'!$D$8=Parâmetros!$B$4,
         IF(OR(V390="ALI",V390="AIE"),"Baixa",IF(OR(V390="EE",V390="SE",V390="CE"),"Média","-")),
         IF(OR('Dados da OS'!$D$8=Parâmetros!$B$5,'Dados da OS'!$D$8=Parâmetros!$B$6),"-"))))</f>
        <v>-</v>
      </c>
      <c r="AI390" s="83" t="str">
        <f xml:space="preserve">
IF(OR(ISBLANK(V390),ISBLANK(U390),ISBLANK(W390),V390="N/A",ISBLANK('Dados da OS'!$D$8)),"",
   IF(OR('Dados da OS'!$D$8=Parâmetros!$B$3,'Dados da OS'!$D$8=Parâmetros!$B$4),
      IF(OR(AND(V390="INM",AG390&lt;&gt;"VF"),AND(AG390="VF",V390&lt;&gt;"INM")),"",
        IF(AND(V390="INM",AG390="VF"),IF(ISBLANK(AB390),"",AF390*AB390),
        IF('Dados da OS'!$D$8=Parâmetros!$B$4,
           IF(OR(V390="CE",V390="EE"),4,IF(V390="SE",5,IF(V390="ALI",7,IF(V390="AIE",5,"")))),
        IF('Dados da OS'!$D$8=Parâmetros!$B$3,
           IF(OR(ISBLANK(X390),ISBLANK(Z390)),"",
              IF(V390="ALI",IF(AE390="L",7,IF(AE390="A",10,15)),
                 IF(V390="AIE",IF(AE390="L",5,IF(AE390="A",7,10)),
                    IF(V390="SE",IF(AE390="L",4,IF(AE390="A",5,7)),
                       IF(OR(V390="EE",V390="CE"),IF(AE390="L",3,IF(AE390="A",4,6)),""))))))))),
   IF('Dados da OS'!$D$8=Parâmetros!$B$5,
      IF(OR(AND(V390="INM",AG390&lt;&gt;"VF"),AND(AG390="VF",V390&lt;&gt;"INM")),"",
         IF(V390="INM",IF(AG390="VF",AF390*AB390,""),
            IF(V390="PE",4.6,
            IF(V390="AL",7,"")))),
   IF('Dados da OS'!$D$8=Parâmetros!$B$6,
      IF(V390="ALI",35,IF(V390="AIE",15,"")),""))
    )
)</f>
        <v/>
      </c>
      <c r="AJ390" s="82" t="str">
        <f t="shared" si="46"/>
        <v/>
      </c>
      <c r="AK390" s="84"/>
      <c r="AL390" s="85" t="s">
        <v>21</v>
      </c>
      <c r="AM390" s="86"/>
      <c r="AN390" s="85"/>
      <c r="AO390" s="87"/>
      <c r="AP390" s="85"/>
      <c r="AQ390" s="86"/>
      <c r="AR390" s="85"/>
    </row>
    <row r="391" spans="1:44" ht="15.75" customHeight="1">
      <c r="A391" s="54"/>
      <c r="B391" s="100"/>
      <c r="C391" s="55"/>
      <c r="D391" s="55"/>
      <c r="E391" s="56"/>
      <c r="F391" s="55"/>
      <c r="G391" s="56"/>
      <c r="H391" s="55"/>
      <c r="I391" s="64"/>
      <c r="J391" s="57" t="str">
        <f t="shared" si="41"/>
        <v/>
      </c>
      <c r="K391" s="57" t="str">
        <f t="shared" si="42"/>
        <v/>
      </c>
      <c r="L391" s="57" t="str">
        <f xml:space="preserve">
IF(OR('Dados da OS'!$D$8=Parâmetros!$B$3,'Dados da OS'!$D$8=Parâmetros!$B$4),
  IF(OR(ISBLANK(D391),ISBLANK(F391)),
     IF(OR(B391="ALI",B391="AIE"),"L",IF(ISBLANK(B391),"","A")),
     IF(B391="EE",IF(F391&gt;=3,IF(D391&gt;=5,"H","A"),
     IF(F391&gt;=2,IF(D391&gt;=16,"H",IF(D391&lt;=4,"L","A")),IF(D391&lt;=15,"L","A"))),
     IF(OR(B391="SE",B391="CE"),IF(F391&gt;=4,IF(D391&gt;=6,"H","A"),IF(F391&gt;=2,IF(D391&gt;=20,"H",IF(D391&lt;=5,"L","A")),IF(D391&lt;=19,"L","A"))),
     IF(OR(B391="ALI",B391="AIE"),IF(F391&gt;=6,IF(D391&gt;=20,"H","A"),IF(F391&gt;=2,IF(D391&gt;=51,"H",IF(D391&lt;=19,"L","A")),IF(D391&lt;=50,"L","A"))))))),
IF('Dados da OS'!$D$8=Parâmetros!$B$6,"Indicativa",
IF('Dados da OS'!$D$8=Parâmetros!$B$5,"PFS","")))</f>
        <v/>
      </c>
      <c r="M391" s="57">
        <f>IFERROR(VLOOKUP(C391,'Fatores de Impacto e INMs'!$A$3:$D$32,3,0),1)</f>
        <v>1</v>
      </c>
      <c r="N391" s="57">
        <f>IFERROR(VLOOKUP(C391,'Fatores de Impacto e INMs'!$A$3:$E$32,5,0),1)</f>
        <v>1</v>
      </c>
      <c r="O391" s="63" t="str">
        <f xml:space="preserve">
IF(OR('Dados da OS'!$D$8="Selecione o tipo da contagem",ISBLANK('Dados da OS'!$D$8),B391="INM",B391="N/A",ISBLANK(B391),ISBLANK(C391),N391="VF"),"-",
   IF('Dados da OS'!$D$8=Parâmetros!$B$3,
      IF(OR(ISBLANK(D391),ISBLANK(F391)),"-",
         IF(L391="L","Baixa",IF(L391="A","Média",IF(L391="H","Alta","-")))),
      IF('Dados da OS'!$D$8=Parâmetros!$B$4,
         IF(OR(B391="ALI",B391="AIE"),"Baixa",IF(OR(B391="EE",B391="SE",B391="CE"),"Média","-")),
         IF(OR('Dados da OS'!$D$8=Parâmetros!$B$5,'Dados da OS'!$D$8=Parâmetros!$B$6),"-"))))</f>
        <v>-</v>
      </c>
      <c r="P391" s="59" t="str">
        <f xml:space="preserve">
IF(OR(ISBLANK(B391),ISBLANK(C391),B391="N/A",ISBLANK('Dados da OS'!$D$8)),"",
   IF(OR('Dados da OS'!$D$8=Parâmetros!$B$3,'Dados da OS'!$D$8=Parâmetros!$B$4),
      IF(OR(AND(B391="INM",N391&lt;&gt;"VF"),AND(N391="VF",B391&lt;&gt;"INM")),"",
        IF(AND(B391="INM",N391="VF"),IF(ISBLANK(H391),"",M391*H391),
        IF('Dados da OS'!$D$8=Parâmetros!$B$4,
           IF(OR(B391="CE",B391="EE"),4,IF(B391="SE",5,IF(B391="ALI",7,IF(B391="AIE",5,"")))),
        IF('Dados da OS'!$D$8=Parâmetros!$B$3,
           IF(OR(ISBLANK(D391),ISBLANK(F391)),"",
              IF(B391="ALI",IF(L391="L",7,IF(L391="A",10,15)),
                 IF(B391="AIE",IF(L391="L",5,IF(L391="A",7,10)),
                    IF(B391="SE",IF(L391="L",4,IF(L391="A",5,7)),
                       IF(OR(B391="EE",B391="CE"),IF(L391="L",3,IF(L391="A",4,6)),""))))))))),
   IF('Dados da OS'!$D$8=Parâmetros!$B$5,
      IF(OR(AND(B391="INM",N391&lt;&gt;"VF"),AND(N391="VF",B391&lt;&gt;"INM")),"",
         IF(B391="INM",IF(N391="VF",M391*H391,""),
            IF(B391="PE",4.6,
            IF(B391="AL",7,"")))),
   IF('Dados da OS'!$D$8=Parâmetros!$B$6,
      IF(B391="ALI",35,IF(B391="AIE",15,"")),""))
    )
)</f>
        <v/>
      </c>
      <c r="Q391" s="60" t="str">
        <f t="shared" si="43"/>
        <v/>
      </c>
      <c r="R391" s="61"/>
      <c r="S391" s="62"/>
      <c r="T391" s="80" t="s">
        <v>21</v>
      </c>
      <c r="U391" s="81"/>
      <c r="V391" s="99"/>
      <c r="W391" s="55"/>
      <c r="X391" s="55"/>
      <c r="Y391" s="56"/>
      <c r="Z391" s="55"/>
      <c r="AA391" s="56"/>
      <c r="AB391" s="55"/>
      <c r="AC391" s="57" t="str">
        <f t="shared" si="44"/>
        <v/>
      </c>
      <c r="AD391" s="57" t="str">
        <f t="shared" si="45"/>
        <v/>
      </c>
      <c r="AE391" s="57" t="str">
        <f xml:space="preserve">
IF(OR('Dados da OS'!$D$8=Parâmetros!$B$3,'Dados da OS'!$D$8=Parâmetros!$B$4),
  IF(OR(ISBLANK(X391),ISBLANK(Z391)),
     IF(OR(V391="ALI",V391="AIE"),"L",IF(ISBLANK(V391),"","A")),
     IF(V391="EE",IF(Z391&gt;=3,IF(X391&gt;=5,"H","A"),
     IF(Z391&gt;=2,IF(X391&gt;=16,"H",IF(X391&lt;=4,"L","A")),IF(X391&lt;=15,"L","A"))),
     IF(OR(V391="SE",V391="CE"),IF(Z391&gt;=4,IF(X391&gt;=6,"H","A"),IF(Z391&gt;=2,IF(X391&gt;=20,"H",IF(X391&lt;=5,"L","A")),IF(X391&lt;=19,"L","A"))),
     IF(OR(V391="ALI",V391="AIE"),IF(Z391&gt;=6,IF(X391&gt;=20,"H","A"),IF(Z391&gt;=2,IF(X391&gt;=51,"H",IF(X391&lt;=19,"L","A")),IF(X391&lt;=50,"L","A"))))))),
IF('Dados da OS'!$D$8=Parâmetros!$B$6,"Indicativa",
IF('Dados da OS'!$D$8=Parâmetros!$B$5,"PFS","")))</f>
        <v/>
      </c>
      <c r="AF391" s="57">
        <f>IFERROR(VLOOKUP(W391,'Fatores de Impacto e INMs'!$A$3:$D$32,3,0),1)</f>
        <v>1</v>
      </c>
      <c r="AG391" s="57">
        <f>IFERROR(VLOOKUP(W391,'Fatores de Impacto e INMs'!$A$3:$E$32,5,0),1)</f>
        <v>1</v>
      </c>
      <c r="AH391" s="82" t="str">
        <f xml:space="preserve">
IF(OR('Dados da OS'!$D$8="Selecione o tipo da contagem",ISBLANK('Dados da OS'!$D$8),V391="INM",V391="N/A",ISBLANK(V391),ISBLANK(W391),AG391="VF"),"-",
   IF('Dados da OS'!$D$8=Parâmetros!$B$3,
      IF(OR(ISBLANK(X391),ISBLANK(Z391)),"-",
         IF(AE391="L","Baixa",IF(AE391="A","Média",IF(AE391="H","Alta","-")))),
      IF('Dados da OS'!$D$8=Parâmetros!$B$4,
         IF(OR(V391="ALI",V391="AIE"),"Baixa",IF(OR(V391="EE",V391="SE",V391="CE"),"Média","-")),
         IF(OR('Dados da OS'!$D$8=Parâmetros!$B$5,'Dados da OS'!$D$8=Parâmetros!$B$6),"-"))))</f>
        <v>-</v>
      </c>
      <c r="AI391" s="83" t="str">
        <f xml:space="preserve">
IF(OR(ISBLANK(V391),ISBLANK(U391),ISBLANK(W391),V391="N/A",ISBLANK('Dados da OS'!$D$8)),"",
   IF(OR('Dados da OS'!$D$8=Parâmetros!$B$3,'Dados da OS'!$D$8=Parâmetros!$B$4),
      IF(OR(AND(V391="INM",AG391&lt;&gt;"VF"),AND(AG391="VF",V391&lt;&gt;"INM")),"",
        IF(AND(V391="INM",AG391="VF"),IF(ISBLANK(AB391),"",AF391*AB391),
        IF('Dados da OS'!$D$8=Parâmetros!$B$4,
           IF(OR(V391="CE",V391="EE"),4,IF(V391="SE",5,IF(V391="ALI",7,IF(V391="AIE",5,"")))),
        IF('Dados da OS'!$D$8=Parâmetros!$B$3,
           IF(OR(ISBLANK(X391),ISBLANK(Z391)),"",
              IF(V391="ALI",IF(AE391="L",7,IF(AE391="A",10,15)),
                 IF(V391="AIE",IF(AE391="L",5,IF(AE391="A",7,10)),
                    IF(V391="SE",IF(AE391="L",4,IF(AE391="A",5,7)),
                       IF(OR(V391="EE",V391="CE"),IF(AE391="L",3,IF(AE391="A",4,6)),""))))))))),
   IF('Dados da OS'!$D$8=Parâmetros!$B$5,
      IF(OR(AND(V391="INM",AG391&lt;&gt;"VF"),AND(AG391="VF",V391&lt;&gt;"INM")),"",
         IF(V391="INM",IF(AG391="VF",AF391*AB391,""),
            IF(V391="PE",4.6,
            IF(V391="AL",7,"")))),
   IF('Dados da OS'!$D$8=Parâmetros!$B$6,
      IF(V391="ALI",35,IF(V391="AIE",15,"")),""))
    )
)</f>
        <v/>
      </c>
      <c r="AJ391" s="82" t="str">
        <f t="shared" si="46"/>
        <v/>
      </c>
      <c r="AK391" s="84"/>
      <c r="AL391" s="85" t="s">
        <v>21</v>
      </c>
      <c r="AM391" s="86"/>
      <c r="AN391" s="85"/>
      <c r="AO391" s="87"/>
      <c r="AP391" s="85"/>
      <c r="AQ391" s="86"/>
      <c r="AR391" s="85"/>
    </row>
    <row r="392" spans="1:44" ht="15.75" customHeight="1">
      <c r="A392" s="54"/>
      <c r="B392" s="100"/>
      <c r="C392" s="55"/>
      <c r="D392" s="55"/>
      <c r="E392" s="56"/>
      <c r="F392" s="55"/>
      <c r="G392" s="56"/>
      <c r="H392" s="55"/>
      <c r="I392" s="64"/>
      <c r="J392" s="57" t="str">
        <f t="shared" si="41"/>
        <v/>
      </c>
      <c r="K392" s="57" t="str">
        <f t="shared" si="42"/>
        <v/>
      </c>
      <c r="L392" s="57" t="str">
        <f xml:space="preserve">
IF(OR('Dados da OS'!$D$8=Parâmetros!$B$3,'Dados da OS'!$D$8=Parâmetros!$B$4),
  IF(OR(ISBLANK(D392),ISBLANK(F392)),
     IF(OR(B392="ALI",B392="AIE"),"L",IF(ISBLANK(B392),"","A")),
     IF(B392="EE",IF(F392&gt;=3,IF(D392&gt;=5,"H","A"),
     IF(F392&gt;=2,IF(D392&gt;=16,"H",IF(D392&lt;=4,"L","A")),IF(D392&lt;=15,"L","A"))),
     IF(OR(B392="SE",B392="CE"),IF(F392&gt;=4,IF(D392&gt;=6,"H","A"),IF(F392&gt;=2,IF(D392&gt;=20,"H",IF(D392&lt;=5,"L","A")),IF(D392&lt;=19,"L","A"))),
     IF(OR(B392="ALI",B392="AIE"),IF(F392&gt;=6,IF(D392&gt;=20,"H","A"),IF(F392&gt;=2,IF(D392&gt;=51,"H",IF(D392&lt;=19,"L","A")),IF(D392&lt;=50,"L","A"))))))),
IF('Dados da OS'!$D$8=Parâmetros!$B$6,"Indicativa",
IF('Dados da OS'!$D$8=Parâmetros!$B$5,"PFS","")))</f>
        <v/>
      </c>
      <c r="M392" s="57">
        <f>IFERROR(VLOOKUP(C392,'Fatores de Impacto e INMs'!$A$3:$D$32,3,0),1)</f>
        <v>1</v>
      </c>
      <c r="N392" s="57">
        <f>IFERROR(VLOOKUP(C392,'Fatores de Impacto e INMs'!$A$3:$E$32,5,0),1)</f>
        <v>1</v>
      </c>
      <c r="O392" s="63" t="str">
        <f xml:space="preserve">
IF(OR('Dados da OS'!$D$8="Selecione o tipo da contagem",ISBLANK('Dados da OS'!$D$8),B392="INM",B392="N/A",ISBLANK(B392),ISBLANK(C392),N392="VF"),"-",
   IF('Dados da OS'!$D$8=Parâmetros!$B$3,
      IF(OR(ISBLANK(D392),ISBLANK(F392)),"-",
         IF(L392="L","Baixa",IF(L392="A","Média",IF(L392="H","Alta","-")))),
      IF('Dados da OS'!$D$8=Parâmetros!$B$4,
         IF(OR(B392="ALI",B392="AIE"),"Baixa",IF(OR(B392="EE",B392="SE",B392="CE"),"Média","-")),
         IF(OR('Dados da OS'!$D$8=Parâmetros!$B$5,'Dados da OS'!$D$8=Parâmetros!$B$6),"-"))))</f>
        <v>-</v>
      </c>
      <c r="P392" s="59" t="str">
        <f xml:space="preserve">
IF(OR(ISBLANK(B392),ISBLANK(C392),B392="N/A",ISBLANK('Dados da OS'!$D$8)),"",
   IF(OR('Dados da OS'!$D$8=Parâmetros!$B$3,'Dados da OS'!$D$8=Parâmetros!$B$4),
      IF(OR(AND(B392="INM",N392&lt;&gt;"VF"),AND(N392="VF",B392&lt;&gt;"INM")),"",
        IF(AND(B392="INM",N392="VF"),IF(ISBLANK(H392),"",M392*H392),
        IF('Dados da OS'!$D$8=Parâmetros!$B$4,
           IF(OR(B392="CE",B392="EE"),4,IF(B392="SE",5,IF(B392="ALI",7,IF(B392="AIE",5,"")))),
        IF('Dados da OS'!$D$8=Parâmetros!$B$3,
           IF(OR(ISBLANK(D392),ISBLANK(F392)),"",
              IF(B392="ALI",IF(L392="L",7,IF(L392="A",10,15)),
                 IF(B392="AIE",IF(L392="L",5,IF(L392="A",7,10)),
                    IF(B392="SE",IF(L392="L",4,IF(L392="A",5,7)),
                       IF(OR(B392="EE",B392="CE"),IF(L392="L",3,IF(L392="A",4,6)),""))))))))),
   IF('Dados da OS'!$D$8=Parâmetros!$B$5,
      IF(OR(AND(B392="INM",N392&lt;&gt;"VF"),AND(N392="VF",B392&lt;&gt;"INM")),"",
         IF(B392="INM",IF(N392="VF",M392*H392,""),
            IF(B392="PE",4.6,
            IF(B392="AL",7,"")))),
   IF('Dados da OS'!$D$8=Parâmetros!$B$6,
      IF(B392="ALI",35,IF(B392="AIE",15,"")),""))
    )
)</f>
        <v/>
      </c>
      <c r="Q392" s="60" t="str">
        <f t="shared" si="43"/>
        <v/>
      </c>
      <c r="R392" s="61"/>
      <c r="S392" s="62"/>
      <c r="T392" s="80" t="s">
        <v>21</v>
      </c>
      <c r="U392" s="81"/>
      <c r="V392" s="99"/>
      <c r="W392" s="55"/>
      <c r="X392" s="55"/>
      <c r="Y392" s="56"/>
      <c r="Z392" s="55"/>
      <c r="AA392" s="56"/>
      <c r="AB392" s="55"/>
      <c r="AC392" s="57" t="str">
        <f t="shared" si="44"/>
        <v/>
      </c>
      <c r="AD392" s="57" t="str">
        <f t="shared" si="45"/>
        <v/>
      </c>
      <c r="AE392" s="57" t="str">
        <f xml:space="preserve">
IF(OR('Dados da OS'!$D$8=Parâmetros!$B$3,'Dados da OS'!$D$8=Parâmetros!$B$4),
  IF(OR(ISBLANK(X392),ISBLANK(Z392)),
     IF(OR(V392="ALI",V392="AIE"),"L",IF(ISBLANK(V392),"","A")),
     IF(V392="EE",IF(Z392&gt;=3,IF(X392&gt;=5,"H","A"),
     IF(Z392&gt;=2,IF(X392&gt;=16,"H",IF(X392&lt;=4,"L","A")),IF(X392&lt;=15,"L","A"))),
     IF(OR(V392="SE",V392="CE"),IF(Z392&gt;=4,IF(X392&gt;=6,"H","A"),IF(Z392&gt;=2,IF(X392&gt;=20,"H",IF(X392&lt;=5,"L","A")),IF(X392&lt;=19,"L","A"))),
     IF(OR(V392="ALI",V392="AIE"),IF(Z392&gt;=6,IF(X392&gt;=20,"H","A"),IF(Z392&gt;=2,IF(X392&gt;=51,"H",IF(X392&lt;=19,"L","A")),IF(X392&lt;=50,"L","A"))))))),
IF('Dados da OS'!$D$8=Parâmetros!$B$6,"Indicativa",
IF('Dados da OS'!$D$8=Parâmetros!$B$5,"PFS","")))</f>
        <v/>
      </c>
      <c r="AF392" s="57">
        <f>IFERROR(VLOOKUP(W392,'Fatores de Impacto e INMs'!$A$3:$D$32,3,0),1)</f>
        <v>1</v>
      </c>
      <c r="AG392" s="57">
        <f>IFERROR(VLOOKUP(W392,'Fatores de Impacto e INMs'!$A$3:$E$32,5,0),1)</f>
        <v>1</v>
      </c>
      <c r="AH392" s="82" t="str">
        <f xml:space="preserve">
IF(OR('Dados da OS'!$D$8="Selecione o tipo da contagem",ISBLANK('Dados da OS'!$D$8),V392="INM",V392="N/A",ISBLANK(V392),ISBLANK(W392),AG392="VF"),"-",
   IF('Dados da OS'!$D$8=Parâmetros!$B$3,
      IF(OR(ISBLANK(X392),ISBLANK(Z392)),"-",
         IF(AE392="L","Baixa",IF(AE392="A","Média",IF(AE392="H","Alta","-")))),
      IF('Dados da OS'!$D$8=Parâmetros!$B$4,
         IF(OR(V392="ALI",V392="AIE"),"Baixa",IF(OR(V392="EE",V392="SE",V392="CE"),"Média","-")),
         IF(OR('Dados da OS'!$D$8=Parâmetros!$B$5,'Dados da OS'!$D$8=Parâmetros!$B$6),"-"))))</f>
        <v>-</v>
      </c>
      <c r="AI392" s="83" t="str">
        <f xml:space="preserve">
IF(OR(ISBLANK(V392),ISBLANK(U392),ISBLANK(W392),V392="N/A",ISBLANK('Dados da OS'!$D$8)),"",
   IF(OR('Dados da OS'!$D$8=Parâmetros!$B$3,'Dados da OS'!$D$8=Parâmetros!$B$4),
      IF(OR(AND(V392="INM",AG392&lt;&gt;"VF"),AND(AG392="VF",V392&lt;&gt;"INM")),"",
        IF(AND(V392="INM",AG392="VF"),IF(ISBLANK(AB392),"",AF392*AB392),
        IF('Dados da OS'!$D$8=Parâmetros!$B$4,
           IF(OR(V392="CE",V392="EE"),4,IF(V392="SE",5,IF(V392="ALI",7,IF(V392="AIE",5,"")))),
        IF('Dados da OS'!$D$8=Parâmetros!$B$3,
           IF(OR(ISBLANK(X392),ISBLANK(Z392)),"",
              IF(V392="ALI",IF(AE392="L",7,IF(AE392="A",10,15)),
                 IF(V392="AIE",IF(AE392="L",5,IF(AE392="A",7,10)),
                    IF(V392="SE",IF(AE392="L",4,IF(AE392="A",5,7)),
                       IF(OR(V392="EE",V392="CE"),IF(AE392="L",3,IF(AE392="A",4,6)),""))))))))),
   IF('Dados da OS'!$D$8=Parâmetros!$B$5,
      IF(OR(AND(V392="INM",AG392&lt;&gt;"VF"),AND(AG392="VF",V392&lt;&gt;"INM")),"",
         IF(V392="INM",IF(AG392="VF",AF392*AB392,""),
            IF(V392="PE",4.6,
            IF(V392="AL",7,"")))),
   IF('Dados da OS'!$D$8=Parâmetros!$B$6,
      IF(V392="ALI",35,IF(V392="AIE",15,"")),""))
    )
)</f>
        <v/>
      </c>
      <c r="AJ392" s="82" t="str">
        <f t="shared" si="46"/>
        <v/>
      </c>
      <c r="AK392" s="84"/>
      <c r="AL392" s="85" t="s">
        <v>21</v>
      </c>
      <c r="AM392" s="86"/>
      <c r="AN392" s="85"/>
      <c r="AO392" s="87"/>
      <c r="AP392" s="85"/>
      <c r="AQ392" s="86"/>
      <c r="AR392" s="85"/>
    </row>
    <row r="393" spans="1:44" ht="15.75" customHeight="1">
      <c r="A393" s="54"/>
      <c r="B393" s="100"/>
      <c r="C393" s="55"/>
      <c r="D393" s="55"/>
      <c r="E393" s="56"/>
      <c r="F393" s="55"/>
      <c r="G393" s="56"/>
      <c r="H393" s="55"/>
      <c r="I393" s="64"/>
      <c r="J393" s="57" t="str">
        <f t="shared" si="41"/>
        <v/>
      </c>
      <c r="K393" s="57" t="str">
        <f t="shared" si="42"/>
        <v/>
      </c>
      <c r="L393" s="57" t="str">
        <f xml:space="preserve">
IF(OR('Dados da OS'!$D$8=Parâmetros!$B$3,'Dados da OS'!$D$8=Parâmetros!$B$4),
  IF(OR(ISBLANK(D393),ISBLANK(F393)),
     IF(OR(B393="ALI",B393="AIE"),"L",IF(ISBLANK(B393),"","A")),
     IF(B393="EE",IF(F393&gt;=3,IF(D393&gt;=5,"H","A"),
     IF(F393&gt;=2,IF(D393&gt;=16,"H",IF(D393&lt;=4,"L","A")),IF(D393&lt;=15,"L","A"))),
     IF(OR(B393="SE",B393="CE"),IF(F393&gt;=4,IF(D393&gt;=6,"H","A"),IF(F393&gt;=2,IF(D393&gt;=20,"H",IF(D393&lt;=5,"L","A")),IF(D393&lt;=19,"L","A"))),
     IF(OR(B393="ALI",B393="AIE"),IF(F393&gt;=6,IF(D393&gt;=20,"H","A"),IF(F393&gt;=2,IF(D393&gt;=51,"H",IF(D393&lt;=19,"L","A")),IF(D393&lt;=50,"L","A"))))))),
IF('Dados da OS'!$D$8=Parâmetros!$B$6,"Indicativa",
IF('Dados da OS'!$D$8=Parâmetros!$B$5,"PFS","")))</f>
        <v/>
      </c>
      <c r="M393" s="57">
        <f>IFERROR(VLOOKUP(C393,'Fatores de Impacto e INMs'!$A$3:$D$32,3,0),1)</f>
        <v>1</v>
      </c>
      <c r="N393" s="57">
        <f>IFERROR(VLOOKUP(C393,'Fatores de Impacto e INMs'!$A$3:$E$32,5,0),1)</f>
        <v>1</v>
      </c>
      <c r="O393" s="63" t="str">
        <f xml:space="preserve">
IF(OR('Dados da OS'!$D$8="Selecione o tipo da contagem",ISBLANK('Dados da OS'!$D$8),B393="INM",B393="N/A",ISBLANK(B393),ISBLANK(C393),N393="VF"),"-",
   IF('Dados da OS'!$D$8=Parâmetros!$B$3,
      IF(OR(ISBLANK(D393),ISBLANK(F393)),"-",
         IF(L393="L","Baixa",IF(L393="A","Média",IF(L393="H","Alta","-")))),
      IF('Dados da OS'!$D$8=Parâmetros!$B$4,
         IF(OR(B393="ALI",B393="AIE"),"Baixa",IF(OR(B393="EE",B393="SE",B393="CE"),"Média","-")),
         IF(OR('Dados da OS'!$D$8=Parâmetros!$B$5,'Dados da OS'!$D$8=Parâmetros!$B$6),"-"))))</f>
        <v>-</v>
      </c>
      <c r="P393" s="59" t="str">
        <f xml:space="preserve">
IF(OR(ISBLANK(B393),ISBLANK(C393),B393="N/A",ISBLANK('Dados da OS'!$D$8)),"",
   IF(OR('Dados da OS'!$D$8=Parâmetros!$B$3,'Dados da OS'!$D$8=Parâmetros!$B$4),
      IF(OR(AND(B393="INM",N393&lt;&gt;"VF"),AND(N393="VF",B393&lt;&gt;"INM")),"",
        IF(AND(B393="INM",N393="VF"),IF(ISBLANK(H393),"",M393*H393),
        IF('Dados da OS'!$D$8=Parâmetros!$B$4,
           IF(OR(B393="CE",B393="EE"),4,IF(B393="SE",5,IF(B393="ALI",7,IF(B393="AIE",5,"")))),
        IF('Dados da OS'!$D$8=Parâmetros!$B$3,
           IF(OR(ISBLANK(D393),ISBLANK(F393)),"",
              IF(B393="ALI",IF(L393="L",7,IF(L393="A",10,15)),
                 IF(B393="AIE",IF(L393="L",5,IF(L393="A",7,10)),
                    IF(B393="SE",IF(L393="L",4,IF(L393="A",5,7)),
                       IF(OR(B393="EE",B393="CE"),IF(L393="L",3,IF(L393="A",4,6)),""))))))))),
   IF('Dados da OS'!$D$8=Parâmetros!$B$5,
      IF(OR(AND(B393="INM",N393&lt;&gt;"VF"),AND(N393="VF",B393&lt;&gt;"INM")),"",
         IF(B393="INM",IF(N393="VF",M393*H393,""),
            IF(B393="PE",4.6,
            IF(B393="AL",7,"")))),
   IF('Dados da OS'!$D$8=Parâmetros!$B$6,
      IF(B393="ALI",35,IF(B393="AIE",15,"")),""))
    )
)</f>
        <v/>
      </c>
      <c r="Q393" s="60" t="str">
        <f t="shared" si="43"/>
        <v/>
      </c>
      <c r="R393" s="61"/>
      <c r="S393" s="62"/>
      <c r="T393" s="80" t="s">
        <v>21</v>
      </c>
      <c r="U393" s="81"/>
      <c r="V393" s="99"/>
      <c r="W393" s="55"/>
      <c r="X393" s="55"/>
      <c r="Y393" s="56"/>
      <c r="Z393" s="55"/>
      <c r="AA393" s="56"/>
      <c r="AB393" s="55"/>
      <c r="AC393" s="57" t="str">
        <f t="shared" si="44"/>
        <v/>
      </c>
      <c r="AD393" s="57" t="str">
        <f t="shared" si="45"/>
        <v/>
      </c>
      <c r="AE393" s="57" t="str">
        <f xml:space="preserve">
IF(OR('Dados da OS'!$D$8=Parâmetros!$B$3,'Dados da OS'!$D$8=Parâmetros!$B$4),
  IF(OR(ISBLANK(X393),ISBLANK(Z393)),
     IF(OR(V393="ALI",V393="AIE"),"L",IF(ISBLANK(V393),"","A")),
     IF(V393="EE",IF(Z393&gt;=3,IF(X393&gt;=5,"H","A"),
     IF(Z393&gt;=2,IF(X393&gt;=16,"H",IF(X393&lt;=4,"L","A")),IF(X393&lt;=15,"L","A"))),
     IF(OR(V393="SE",V393="CE"),IF(Z393&gt;=4,IF(X393&gt;=6,"H","A"),IF(Z393&gt;=2,IF(X393&gt;=20,"H",IF(X393&lt;=5,"L","A")),IF(X393&lt;=19,"L","A"))),
     IF(OR(V393="ALI",V393="AIE"),IF(Z393&gt;=6,IF(X393&gt;=20,"H","A"),IF(Z393&gt;=2,IF(X393&gt;=51,"H",IF(X393&lt;=19,"L","A")),IF(X393&lt;=50,"L","A"))))))),
IF('Dados da OS'!$D$8=Parâmetros!$B$6,"Indicativa",
IF('Dados da OS'!$D$8=Parâmetros!$B$5,"PFS","")))</f>
        <v/>
      </c>
      <c r="AF393" s="57">
        <f>IFERROR(VLOOKUP(W393,'Fatores de Impacto e INMs'!$A$3:$D$32,3,0),1)</f>
        <v>1</v>
      </c>
      <c r="AG393" s="57">
        <f>IFERROR(VLOOKUP(W393,'Fatores de Impacto e INMs'!$A$3:$E$32,5,0),1)</f>
        <v>1</v>
      </c>
      <c r="AH393" s="82" t="str">
        <f xml:space="preserve">
IF(OR('Dados da OS'!$D$8="Selecione o tipo da contagem",ISBLANK('Dados da OS'!$D$8),V393="INM",V393="N/A",ISBLANK(V393),ISBLANK(W393),AG393="VF"),"-",
   IF('Dados da OS'!$D$8=Parâmetros!$B$3,
      IF(OR(ISBLANK(X393),ISBLANK(Z393)),"-",
         IF(AE393="L","Baixa",IF(AE393="A","Média",IF(AE393="H","Alta","-")))),
      IF('Dados da OS'!$D$8=Parâmetros!$B$4,
         IF(OR(V393="ALI",V393="AIE"),"Baixa",IF(OR(V393="EE",V393="SE",V393="CE"),"Média","-")),
         IF(OR('Dados da OS'!$D$8=Parâmetros!$B$5,'Dados da OS'!$D$8=Parâmetros!$B$6),"-"))))</f>
        <v>-</v>
      </c>
      <c r="AI393" s="83" t="str">
        <f xml:space="preserve">
IF(OR(ISBLANK(V393),ISBLANK(U393),ISBLANK(W393),V393="N/A",ISBLANK('Dados da OS'!$D$8)),"",
   IF(OR('Dados da OS'!$D$8=Parâmetros!$B$3,'Dados da OS'!$D$8=Parâmetros!$B$4),
      IF(OR(AND(V393="INM",AG393&lt;&gt;"VF"),AND(AG393="VF",V393&lt;&gt;"INM")),"",
        IF(AND(V393="INM",AG393="VF"),IF(ISBLANK(AB393),"",AF393*AB393),
        IF('Dados da OS'!$D$8=Parâmetros!$B$4,
           IF(OR(V393="CE",V393="EE"),4,IF(V393="SE",5,IF(V393="ALI",7,IF(V393="AIE",5,"")))),
        IF('Dados da OS'!$D$8=Parâmetros!$B$3,
           IF(OR(ISBLANK(X393),ISBLANK(Z393)),"",
              IF(V393="ALI",IF(AE393="L",7,IF(AE393="A",10,15)),
                 IF(V393="AIE",IF(AE393="L",5,IF(AE393="A",7,10)),
                    IF(V393="SE",IF(AE393="L",4,IF(AE393="A",5,7)),
                       IF(OR(V393="EE",V393="CE"),IF(AE393="L",3,IF(AE393="A",4,6)),""))))))))),
   IF('Dados da OS'!$D$8=Parâmetros!$B$5,
      IF(OR(AND(V393="INM",AG393&lt;&gt;"VF"),AND(AG393="VF",V393&lt;&gt;"INM")),"",
         IF(V393="INM",IF(AG393="VF",AF393*AB393,""),
            IF(V393="PE",4.6,
            IF(V393="AL",7,"")))),
   IF('Dados da OS'!$D$8=Parâmetros!$B$6,
      IF(V393="ALI",35,IF(V393="AIE",15,"")),""))
    )
)</f>
        <v/>
      </c>
      <c r="AJ393" s="82" t="str">
        <f t="shared" si="46"/>
        <v/>
      </c>
      <c r="AK393" s="84"/>
      <c r="AL393" s="85" t="s">
        <v>21</v>
      </c>
      <c r="AM393" s="86"/>
      <c r="AN393" s="85"/>
      <c r="AO393" s="87"/>
      <c r="AP393" s="85"/>
      <c r="AQ393" s="86"/>
      <c r="AR393" s="85"/>
    </row>
    <row r="394" spans="1:44" ht="15.75" customHeight="1">
      <c r="A394" s="54"/>
      <c r="B394" s="100"/>
      <c r="C394" s="55"/>
      <c r="D394" s="55"/>
      <c r="E394" s="56"/>
      <c r="F394" s="55"/>
      <c r="G394" s="56"/>
      <c r="H394" s="55"/>
      <c r="I394" s="64"/>
      <c r="J394" s="57" t="str">
        <f t="shared" si="41"/>
        <v/>
      </c>
      <c r="K394" s="57" t="str">
        <f t="shared" si="42"/>
        <v/>
      </c>
      <c r="L394" s="57" t="str">
        <f xml:space="preserve">
IF(OR('Dados da OS'!$D$8=Parâmetros!$B$3,'Dados da OS'!$D$8=Parâmetros!$B$4),
  IF(OR(ISBLANK(D394),ISBLANK(F394)),
     IF(OR(B394="ALI",B394="AIE"),"L",IF(ISBLANK(B394),"","A")),
     IF(B394="EE",IF(F394&gt;=3,IF(D394&gt;=5,"H","A"),
     IF(F394&gt;=2,IF(D394&gt;=16,"H",IF(D394&lt;=4,"L","A")),IF(D394&lt;=15,"L","A"))),
     IF(OR(B394="SE",B394="CE"),IF(F394&gt;=4,IF(D394&gt;=6,"H","A"),IF(F394&gt;=2,IF(D394&gt;=20,"H",IF(D394&lt;=5,"L","A")),IF(D394&lt;=19,"L","A"))),
     IF(OR(B394="ALI",B394="AIE"),IF(F394&gt;=6,IF(D394&gt;=20,"H","A"),IF(F394&gt;=2,IF(D394&gt;=51,"H",IF(D394&lt;=19,"L","A")),IF(D394&lt;=50,"L","A"))))))),
IF('Dados da OS'!$D$8=Parâmetros!$B$6,"Indicativa",
IF('Dados da OS'!$D$8=Parâmetros!$B$5,"PFS","")))</f>
        <v/>
      </c>
      <c r="M394" s="57">
        <f>IFERROR(VLOOKUP(C394,'Fatores de Impacto e INMs'!$A$3:$D$32,3,0),1)</f>
        <v>1</v>
      </c>
      <c r="N394" s="57">
        <f>IFERROR(VLOOKUP(C394,'Fatores de Impacto e INMs'!$A$3:$E$32,5,0),1)</f>
        <v>1</v>
      </c>
      <c r="O394" s="63" t="str">
        <f xml:space="preserve">
IF(OR('Dados da OS'!$D$8="Selecione o tipo da contagem",ISBLANK('Dados da OS'!$D$8),B394="INM",B394="N/A",ISBLANK(B394),ISBLANK(C394),N394="VF"),"-",
   IF('Dados da OS'!$D$8=Parâmetros!$B$3,
      IF(OR(ISBLANK(D394),ISBLANK(F394)),"-",
         IF(L394="L","Baixa",IF(L394="A","Média",IF(L394="H","Alta","-")))),
      IF('Dados da OS'!$D$8=Parâmetros!$B$4,
         IF(OR(B394="ALI",B394="AIE"),"Baixa",IF(OR(B394="EE",B394="SE",B394="CE"),"Média","-")),
         IF(OR('Dados da OS'!$D$8=Parâmetros!$B$5,'Dados da OS'!$D$8=Parâmetros!$B$6),"-"))))</f>
        <v>-</v>
      </c>
      <c r="P394" s="59" t="str">
        <f xml:space="preserve">
IF(OR(ISBLANK(B394),ISBLANK(C394),B394="N/A",ISBLANK('Dados da OS'!$D$8)),"",
   IF(OR('Dados da OS'!$D$8=Parâmetros!$B$3,'Dados da OS'!$D$8=Parâmetros!$B$4),
      IF(OR(AND(B394="INM",N394&lt;&gt;"VF"),AND(N394="VF",B394&lt;&gt;"INM")),"",
        IF(AND(B394="INM",N394="VF"),IF(ISBLANK(H394),"",M394*H394),
        IF('Dados da OS'!$D$8=Parâmetros!$B$4,
           IF(OR(B394="CE",B394="EE"),4,IF(B394="SE",5,IF(B394="ALI",7,IF(B394="AIE",5,"")))),
        IF('Dados da OS'!$D$8=Parâmetros!$B$3,
           IF(OR(ISBLANK(D394),ISBLANK(F394)),"",
              IF(B394="ALI",IF(L394="L",7,IF(L394="A",10,15)),
                 IF(B394="AIE",IF(L394="L",5,IF(L394="A",7,10)),
                    IF(B394="SE",IF(L394="L",4,IF(L394="A",5,7)),
                       IF(OR(B394="EE",B394="CE"),IF(L394="L",3,IF(L394="A",4,6)),""))))))))),
   IF('Dados da OS'!$D$8=Parâmetros!$B$5,
      IF(OR(AND(B394="INM",N394&lt;&gt;"VF"),AND(N394="VF",B394&lt;&gt;"INM")),"",
         IF(B394="INM",IF(N394="VF",M394*H394,""),
            IF(B394="PE",4.6,
            IF(B394="AL",7,"")))),
   IF('Dados da OS'!$D$8=Parâmetros!$B$6,
      IF(B394="ALI",35,IF(B394="AIE",15,"")),""))
    )
)</f>
        <v/>
      </c>
      <c r="Q394" s="60" t="str">
        <f t="shared" si="43"/>
        <v/>
      </c>
      <c r="R394" s="61"/>
      <c r="S394" s="62"/>
      <c r="T394" s="80" t="s">
        <v>21</v>
      </c>
      <c r="U394" s="81"/>
      <c r="V394" s="99"/>
      <c r="W394" s="55"/>
      <c r="X394" s="55"/>
      <c r="Y394" s="56"/>
      <c r="Z394" s="55"/>
      <c r="AA394" s="56"/>
      <c r="AB394" s="55"/>
      <c r="AC394" s="57" t="str">
        <f t="shared" si="44"/>
        <v/>
      </c>
      <c r="AD394" s="57" t="str">
        <f t="shared" si="45"/>
        <v/>
      </c>
      <c r="AE394" s="57" t="str">
        <f xml:space="preserve">
IF(OR('Dados da OS'!$D$8=Parâmetros!$B$3,'Dados da OS'!$D$8=Parâmetros!$B$4),
  IF(OR(ISBLANK(X394),ISBLANK(Z394)),
     IF(OR(V394="ALI",V394="AIE"),"L",IF(ISBLANK(V394),"","A")),
     IF(V394="EE",IF(Z394&gt;=3,IF(X394&gt;=5,"H","A"),
     IF(Z394&gt;=2,IF(X394&gt;=16,"H",IF(X394&lt;=4,"L","A")),IF(X394&lt;=15,"L","A"))),
     IF(OR(V394="SE",V394="CE"),IF(Z394&gt;=4,IF(X394&gt;=6,"H","A"),IF(Z394&gt;=2,IF(X394&gt;=20,"H",IF(X394&lt;=5,"L","A")),IF(X394&lt;=19,"L","A"))),
     IF(OR(V394="ALI",V394="AIE"),IF(Z394&gt;=6,IF(X394&gt;=20,"H","A"),IF(Z394&gt;=2,IF(X394&gt;=51,"H",IF(X394&lt;=19,"L","A")),IF(X394&lt;=50,"L","A"))))))),
IF('Dados da OS'!$D$8=Parâmetros!$B$6,"Indicativa",
IF('Dados da OS'!$D$8=Parâmetros!$B$5,"PFS","")))</f>
        <v/>
      </c>
      <c r="AF394" s="57">
        <f>IFERROR(VLOOKUP(W394,'Fatores de Impacto e INMs'!$A$3:$D$32,3,0),1)</f>
        <v>1</v>
      </c>
      <c r="AG394" s="57">
        <f>IFERROR(VLOOKUP(W394,'Fatores de Impacto e INMs'!$A$3:$E$32,5,0),1)</f>
        <v>1</v>
      </c>
      <c r="AH394" s="82" t="str">
        <f xml:space="preserve">
IF(OR('Dados da OS'!$D$8="Selecione o tipo da contagem",ISBLANK('Dados da OS'!$D$8),V394="INM",V394="N/A",ISBLANK(V394),ISBLANK(W394),AG394="VF"),"-",
   IF('Dados da OS'!$D$8=Parâmetros!$B$3,
      IF(OR(ISBLANK(X394),ISBLANK(Z394)),"-",
         IF(AE394="L","Baixa",IF(AE394="A","Média",IF(AE394="H","Alta","-")))),
      IF('Dados da OS'!$D$8=Parâmetros!$B$4,
         IF(OR(V394="ALI",V394="AIE"),"Baixa",IF(OR(V394="EE",V394="SE",V394="CE"),"Média","-")),
         IF(OR('Dados da OS'!$D$8=Parâmetros!$B$5,'Dados da OS'!$D$8=Parâmetros!$B$6),"-"))))</f>
        <v>-</v>
      </c>
      <c r="AI394" s="83" t="str">
        <f xml:space="preserve">
IF(OR(ISBLANK(V394),ISBLANK(U394),ISBLANK(W394),V394="N/A",ISBLANK('Dados da OS'!$D$8)),"",
   IF(OR('Dados da OS'!$D$8=Parâmetros!$B$3,'Dados da OS'!$D$8=Parâmetros!$B$4),
      IF(OR(AND(V394="INM",AG394&lt;&gt;"VF"),AND(AG394="VF",V394&lt;&gt;"INM")),"",
        IF(AND(V394="INM",AG394="VF"),IF(ISBLANK(AB394),"",AF394*AB394),
        IF('Dados da OS'!$D$8=Parâmetros!$B$4,
           IF(OR(V394="CE",V394="EE"),4,IF(V394="SE",5,IF(V394="ALI",7,IF(V394="AIE",5,"")))),
        IF('Dados da OS'!$D$8=Parâmetros!$B$3,
           IF(OR(ISBLANK(X394),ISBLANK(Z394)),"",
              IF(V394="ALI",IF(AE394="L",7,IF(AE394="A",10,15)),
                 IF(V394="AIE",IF(AE394="L",5,IF(AE394="A",7,10)),
                    IF(V394="SE",IF(AE394="L",4,IF(AE394="A",5,7)),
                       IF(OR(V394="EE",V394="CE"),IF(AE394="L",3,IF(AE394="A",4,6)),""))))))))),
   IF('Dados da OS'!$D$8=Parâmetros!$B$5,
      IF(OR(AND(V394="INM",AG394&lt;&gt;"VF"),AND(AG394="VF",V394&lt;&gt;"INM")),"",
         IF(V394="INM",IF(AG394="VF",AF394*AB394,""),
            IF(V394="PE",4.6,
            IF(V394="AL",7,"")))),
   IF('Dados da OS'!$D$8=Parâmetros!$B$6,
      IF(V394="ALI",35,IF(V394="AIE",15,"")),""))
    )
)</f>
        <v/>
      </c>
      <c r="AJ394" s="82" t="str">
        <f t="shared" si="46"/>
        <v/>
      </c>
      <c r="AK394" s="84"/>
      <c r="AL394" s="85" t="s">
        <v>21</v>
      </c>
      <c r="AM394" s="86"/>
      <c r="AN394" s="85"/>
      <c r="AO394" s="87"/>
      <c r="AP394" s="85"/>
      <c r="AQ394" s="86"/>
      <c r="AR394" s="85"/>
    </row>
    <row r="395" spans="1:44" ht="15.75" customHeight="1">
      <c r="A395" s="54"/>
      <c r="B395" s="100"/>
      <c r="C395" s="55"/>
      <c r="D395" s="55"/>
      <c r="E395" s="56"/>
      <c r="F395" s="55"/>
      <c r="G395" s="56"/>
      <c r="H395" s="55"/>
      <c r="I395" s="64"/>
      <c r="J395" s="57" t="str">
        <f t="shared" si="41"/>
        <v/>
      </c>
      <c r="K395" s="57" t="str">
        <f t="shared" si="42"/>
        <v/>
      </c>
      <c r="L395" s="57" t="str">
        <f xml:space="preserve">
IF(OR('Dados da OS'!$D$8=Parâmetros!$B$3,'Dados da OS'!$D$8=Parâmetros!$B$4),
  IF(OR(ISBLANK(D395),ISBLANK(F395)),
     IF(OR(B395="ALI",B395="AIE"),"L",IF(ISBLANK(B395),"","A")),
     IF(B395="EE",IF(F395&gt;=3,IF(D395&gt;=5,"H","A"),
     IF(F395&gt;=2,IF(D395&gt;=16,"H",IF(D395&lt;=4,"L","A")),IF(D395&lt;=15,"L","A"))),
     IF(OR(B395="SE",B395="CE"),IF(F395&gt;=4,IF(D395&gt;=6,"H","A"),IF(F395&gt;=2,IF(D395&gt;=20,"H",IF(D395&lt;=5,"L","A")),IF(D395&lt;=19,"L","A"))),
     IF(OR(B395="ALI",B395="AIE"),IF(F395&gt;=6,IF(D395&gt;=20,"H","A"),IF(F395&gt;=2,IF(D395&gt;=51,"H",IF(D395&lt;=19,"L","A")),IF(D395&lt;=50,"L","A"))))))),
IF('Dados da OS'!$D$8=Parâmetros!$B$6,"Indicativa",
IF('Dados da OS'!$D$8=Parâmetros!$B$5,"PFS","")))</f>
        <v/>
      </c>
      <c r="M395" s="57">
        <f>IFERROR(VLOOKUP(C395,'Fatores de Impacto e INMs'!$A$3:$D$32,3,0),1)</f>
        <v>1</v>
      </c>
      <c r="N395" s="57">
        <f>IFERROR(VLOOKUP(C395,'Fatores de Impacto e INMs'!$A$3:$E$32,5,0),1)</f>
        <v>1</v>
      </c>
      <c r="O395" s="63" t="str">
        <f xml:space="preserve">
IF(OR('Dados da OS'!$D$8="Selecione o tipo da contagem",ISBLANK('Dados da OS'!$D$8),B395="INM",B395="N/A",ISBLANK(B395),ISBLANK(C395),N395="VF"),"-",
   IF('Dados da OS'!$D$8=Parâmetros!$B$3,
      IF(OR(ISBLANK(D395),ISBLANK(F395)),"-",
         IF(L395="L","Baixa",IF(L395="A","Média",IF(L395="H","Alta","-")))),
      IF('Dados da OS'!$D$8=Parâmetros!$B$4,
         IF(OR(B395="ALI",B395="AIE"),"Baixa",IF(OR(B395="EE",B395="SE",B395="CE"),"Média","-")),
         IF(OR('Dados da OS'!$D$8=Parâmetros!$B$5,'Dados da OS'!$D$8=Parâmetros!$B$6),"-"))))</f>
        <v>-</v>
      </c>
      <c r="P395" s="59" t="str">
        <f xml:space="preserve">
IF(OR(ISBLANK(B395),ISBLANK(C395),B395="N/A",ISBLANK('Dados da OS'!$D$8)),"",
   IF(OR('Dados da OS'!$D$8=Parâmetros!$B$3,'Dados da OS'!$D$8=Parâmetros!$B$4),
      IF(OR(AND(B395="INM",N395&lt;&gt;"VF"),AND(N395="VF",B395&lt;&gt;"INM")),"",
        IF(AND(B395="INM",N395="VF"),IF(ISBLANK(H395),"",M395*H395),
        IF('Dados da OS'!$D$8=Parâmetros!$B$4,
           IF(OR(B395="CE",B395="EE"),4,IF(B395="SE",5,IF(B395="ALI",7,IF(B395="AIE",5,"")))),
        IF('Dados da OS'!$D$8=Parâmetros!$B$3,
           IF(OR(ISBLANK(D395),ISBLANK(F395)),"",
              IF(B395="ALI",IF(L395="L",7,IF(L395="A",10,15)),
                 IF(B395="AIE",IF(L395="L",5,IF(L395="A",7,10)),
                    IF(B395="SE",IF(L395="L",4,IF(L395="A",5,7)),
                       IF(OR(B395="EE",B395="CE"),IF(L395="L",3,IF(L395="A",4,6)),""))))))))),
   IF('Dados da OS'!$D$8=Parâmetros!$B$5,
      IF(OR(AND(B395="INM",N395&lt;&gt;"VF"),AND(N395="VF",B395&lt;&gt;"INM")),"",
         IF(B395="INM",IF(N395="VF",M395*H395,""),
            IF(B395="PE",4.6,
            IF(B395="AL",7,"")))),
   IF('Dados da OS'!$D$8=Parâmetros!$B$6,
      IF(B395="ALI",35,IF(B395="AIE",15,"")),""))
    )
)</f>
        <v/>
      </c>
      <c r="Q395" s="60" t="str">
        <f t="shared" si="43"/>
        <v/>
      </c>
      <c r="R395" s="61"/>
      <c r="S395" s="62"/>
      <c r="T395" s="80" t="s">
        <v>21</v>
      </c>
      <c r="U395" s="81"/>
      <c r="V395" s="99"/>
      <c r="W395" s="55"/>
      <c r="X395" s="55"/>
      <c r="Y395" s="56"/>
      <c r="Z395" s="55"/>
      <c r="AA395" s="56"/>
      <c r="AB395" s="55"/>
      <c r="AC395" s="57" t="str">
        <f t="shared" si="44"/>
        <v/>
      </c>
      <c r="AD395" s="57" t="str">
        <f t="shared" si="45"/>
        <v/>
      </c>
      <c r="AE395" s="57" t="str">
        <f xml:space="preserve">
IF(OR('Dados da OS'!$D$8=Parâmetros!$B$3,'Dados da OS'!$D$8=Parâmetros!$B$4),
  IF(OR(ISBLANK(X395),ISBLANK(Z395)),
     IF(OR(V395="ALI",V395="AIE"),"L",IF(ISBLANK(V395),"","A")),
     IF(V395="EE",IF(Z395&gt;=3,IF(X395&gt;=5,"H","A"),
     IF(Z395&gt;=2,IF(X395&gt;=16,"H",IF(X395&lt;=4,"L","A")),IF(X395&lt;=15,"L","A"))),
     IF(OR(V395="SE",V395="CE"),IF(Z395&gt;=4,IF(X395&gt;=6,"H","A"),IF(Z395&gt;=2,IF(X395&gt;=20,"H",IF(X395&lt;=5,"L","A")),IF(X395&lt;=19,"L","A"))),
     IF(OR(V395="ALI",V395="AIE"),IF(Z395&gt;=6,IF(X395&gt;=20,"H","A"),IF(Z395&gt;=2,IF(X395&gt;=51,"H",IF(X395&lt;=19,"L","A")),IF(X395&lt;=50,"L","A"))))))),
IF('Dados da OS'!$D$8=Parâmetros!$B$6,"Indicativa",
IF('Dados da OS'!$D$8=Parâmetros!$B$5,"PFS","")))</f>
        <v/>
      </c>
      <c r="AF395" s="57">
        <f>IFERROR(VLOOKUP(W395,'Fatores de Impacto e INMs'!$A$3:$D$32,3,0),1)</f>
        <v>1</v>
      </c>
      <c r="AG395" s="57">
        <f>IFERROR(VLOOKUP(W395,'Fatores de Impacto e INMs'!$A$3:$E$32,5,0),1)</f>
        <v>1</v>
      </c>
      <c r="AH395" s="82" t="str">
        <f xml:space="preserve">
IF(OR('Dados da OS'!$D$8="Selecione o tipo da contagem",ISBLANK('Dados da OS'!$D$8),V395="INM",V395="N/A",ISBLANK(V395),ISBLANK(W395),AG395="VF"),"-",
   IF('Dados da OS'!$D$8=Parâmetros!$B$3,
      IF(OR(ISBLANK(X395),ISBLANK(Z395)),"-",
         IF(AE395="L","Baixa",IF(AE395="A","Média",IF(AE395="H","Alta","-")))),
      IF('Dados da OS'!$D$8=Parâmetros!$B$4,
         IF(OR(V395="ALI",V395="AIE"),"Baixa",IF(OR(V395="EE",V395="SE",V395="CE"),"Média","-")),
         IF(OR('Dados da OS'!$D$8=Parâmetros!$B$5,'Dados da OS'!$D$8=Parâmetros!$B$6),"-"))))</f>
        <v>-</v>
      </c>
      <c r="AI395" s="83" t="str">
        <f xml:space="preserve">
IF(OR(ISBLANK(V395),ISBLANK(U395),ISBLANK(W395),V395="N/A",ISBLANK('Dados da OS'!$D$8)),"",
   IF(OR('Dados da OS'!$D$8=Parâmetros!$B$3,'Dados da OS'!$D$8=Parâmetros!$B$4),
      IF(OR(AND(V395="INM",AG395&lt;&gt;"VF"),AND(AG395="VF",V395&lt;&gt;"INM")),"",
        IF(AND(V395="INM",AG395="VF"),IF(ISBLANK(AB395),"",AF395*AB395),
        IF('Dados da OS'!$D$8=Parâmetros!$B$4,
           IF(OR(V395="CE",V395="EE"),4,IF(V395="SE",5,IF(V395="ALI",7,IF(V395="AIE",5,"")))),
        IF('Dados da OS'!$D$8=Parâmetros!$B$3,
           IF(OR(ISBLANK(X395),ISBLANK(Z395)),"",
              IF(V395="ALI",IF(AE395="L",7,IF(AE395="A",10,15)),
                 IF(V395="AIE",IF(AE395="L",5,IF(AE395="A",7,10)),
                    IF(V395="SE",IF(AE395="L",4,IF(AE395="A",5,7)),
                       IF(OR(V395="EE",V395="CE"),IF(AE395="L",3,IF(AE395="A",4,6)),""))))))))),
   IF('Dados da OS'!$D$8=Parâmetros!$B$5,
      IF(OR(AND(V395="INM",AG395&lt;&gt;"VF"),AND(AG395="VF",V395&lt;&gt;"INM")),"",
         IF(V395="INM",IF(AG395="VF",AF395*AB395,""),
            IF(V395="PE",4.6,
            IF(V395="AL",7,"")))),
   IF('Dados da OS'!$D$8=Parâmetros!$B$6,
      IF(V395="ALI",35,IF(V395="AIE",15,"")),""))
    )
)</f>
        <v/>
      </c>
      <c r="AJ395" s="82" t="str">
        <f t="shared" si="46"/>
        <v/>
      </c>
      <c r="AK395" s="84"/>
      <c r="AL395" s="85" t="s">
        <v>21</v>
      </c>
      <c r="AM395" s="86"/>
      <c r="AN395" s="85"/>
      <c r="AO395" s="87"/>
      <c r="AP395" s="85"/>
      <c r="AQ395" s="86"/>
      <c r="AR395" s="85"/>
    </row>
    <row r="396" spans="1:44" ht="15.75" customHeight="1">
      <c r="A396" s="54"/>
      <c r="B396" s="100"/>
      <c r="C396" s="55"/>
      <c r="D396" s="55"/>
      <c r="E396" s="56"/>
      <c r="F396" s="55"/>
      <c r="G396" s="56"/>
      <c r="H396" s="55"/>
      <c r="I396" s="64"/>
      <c r="J396" s="57" t="str">
        <f t="shared" si="41"/>
        <v/>
      </c>
      <c r="K396" s="57" t="str">
        <f t="shared" si="42"/>
        <v/>
      </c>
      <c r="L396" s="57" t="str">
        <f xml:space="preserve">
IF(OR('Dados da OS'!$D$8=Parâmetros!$B$3,'Dados da OS'!$D$8=Parâmetros!$B$4),
  IF(OR(ISBLANK(D396),ISBLANK(F396)),
     IF(OR(B396="ALI",B396="AIE"),"L",IF(ISBLANK(B396),"","A")),
     IF(B396="EE",IF(F396&gt;=3,IF(D396&gt;=5,"H","A"),
     IF(F396&gt;=2,IF(D396&gt;=16,"H",IF(D396&lt;=4,"L","A")),IF(D396&lt;=15,"L","A"))),
     IF(OR(B396="SE",B396="CE"),IF(F396&gt;=4,IF(D396&gt;=6,"H","A"),IF(F396&gt;=2,IF(D396&gt;=20,"H",IF(D396&lt;=5,"L","A")),IF(D396&lt;=19,"L","A"))),
     IF(OR(B396="ALI",B396="AIE"),IF(F396&gt;=6,IF(D396&gt;=20,"H","A"),IF(F396&gt;=2,IF(D396&gt;=51,"H",IF(D396&lt;=19,"L","A")),IF(D396&lt;=50,"L","A"))))))),
IF('Dados da OS'!$D$8=Parâmetros!$B$6,"Indicativa",
IF('Dados da OS'!$D$8=Parâmetros!$B$5,"PFS","")))</f>
        <v/>
      </c>
      <c r="M396" s="57">
        <f>IFERROR(VLOOKUP(C396,'Fatores de Impacto e INMs'!$A$3:$D$32,3,0),1)</f>
        <v>1</v>
      </c>
      <c r="N396" s="57">
        <f>IFERROR(VLOOKUP(C396,'Fatores de Impacto e INMs'!$A$3:$E$32,5,0),1)</f>
        <v>1</v>
      </c>
      <c r="O396" s="63" t="str">
        <f xml:space="preserve">
IF(OR('Dados da OS'!$D$8="Selecione o tipo da contagem",ISBLANK('Dados da OS'!$D$8),B396="INM",B396="N/A",ISBLANK(B396),ISBLANK(C396),N396="VF"),"-",
   IF('Dados da OS'!$D$8=Parâmetros!$B$3,
      IF(OR(ISBLANK(D396),ISBLANK(F396)),"-",
         IF(L396="L","Baixa",IF(L396="A","Média",IF(L396="H","Alta","-")))),
      IF('Dados da OS'!$D$8=Parâmetros!$B$4,
         IF(OR(B396="ALI",B396="AIE"),"Baixa",IF(OR(B396="EE",B396="SE",B396="CE"),"Média","-")),
         IF(OR('Dados da OS'!$D$8=Parâmetros!$B$5,'Dados da OS'!$D$8=Parâmetros!$B$6),"-"))))</f>
        <v>-</v>
      </c>
      <c r="P396" s="59" t="str">
        <f xml:space="preserve">
IF(OR(ISBLANK(B396),ISBLANK(C396),B396="N/A",ISBLANK('Dados da OS'!$D$8)),"",
   IF(OR('Dados da OS'!$D$8=Parâmetros!$B$3,'Dados da OS'!$D$8=Parâmetros!$B$4),
      IF(OR(AND(B396="INM",N396&lt;&gt;"VF"),AND(N396="VF",B396&lt;&gt;"INM")),"",
        IF(AND(B396="INM",N396="VF"),IF(ISBLANK(H396),"",M396*H396),
        IF('Dados da OS'!$D$8=Parâmetros!$B$4,
           IF(OR(B396="CE",B396="EE"),4,IF(B396="SE",5,IF(B396="ALI",7,IF(B396="AIE",5,"")))),
        IF('Dados da OS'!$D$8=Parâmetros!$B$3,
           IF(OR(ISBLANK(D396),ISBLANK(F396)),"",
              IF(B396="ALI",IF(L396="L",7,IF(L396="A",10,15)),
                 IF(B396="AIE",IF(L396="L",5,IF(L396="A",7,10)),
                    IF(B396="SE",IF(L396="L",4,IF(L396="A",5,7)),
                       IF(OR(B396="EE",B396="CE"),IF(L396="L",3,IF(L396="A",4,6)),""))))))))),
   IF('Dados da OS'!$D$8=Parâmetros!$B$5,
      IF(OR(AND(B396="INM",N396&lt;&gt;"VF"),AND(N396="VF",B396&lt;&gt;"INM")),"",
         IF(B396="INM",IF(N396="VF",M396*H396,""),
            IF(B396="PE",4.6,
            IF(B396="AL",7,"")))),
   IF('Dados da OS'!$D$8=Parâmetros!$B$6,
      IF(B396="ALI",35,IF(B396="AIE",15,"")),""))
    )
)</f>
        <v/>
      </c>
      <c r="Q396" s="60" t="str">
        <f t="shared" si="43"/>
        <v/>
      </c>
      <c r="R396" s="61"/>
      <c r="S396" s="62"/>
      <c r="T396" s="80" t="s">
        <v>21</v>
      </c>
      <c r="U396" s="81"/>
      <c r="V396" s="99"/>
      <c r="W396" s="55"/>
      <c r="X396" s="55"/>
      <c r="Y396" s="56"/>
      <c r="Z396" s="55"/>
      <c r="AA396" s="56"/>
      <c r="AB396" s="55"/>
      <c r="AC396" s="57" t="str">
        <f t="shared" si="44"/>
        <v/>
      </c>
      <c r="AD396" s="57" t="str">
        <f t="shared" si="45"/>
        <v/>
      </c>
      <c r="AE396" s="57" t="str">
        <f xml:space="preserve">
IF(OR('Dados da OS'!$D$8=Parâmetros!$B$3,'Dados da OS'!$D$8=Parâmetros!$B$4),
  IF(OR(ISBLANK(X396),ISBLANK(Z396)),
     IF(OR(V396="ALI",V396="AIE"),"L",IF(ISBLANK(V396),"","A")),
     IF(V396="EE",IF(Z396&gt;=3,IF(X396&gt;=5,"H","A"),
     IF(Z396&gt;=2,IF(X396&gt;=16,"H",IF(X396&lt;=4,"L","A")),IF(X396&lt;=15,"L","A"))),
     IF(OR(V396="SE",V396="CE"),IF(Z396&gt;=4,IF(X396&gt;=6,"H","A"),IF(Z396&gt;=2,IF(X396&gt;=20,"H",IF(X396&lt;=5,"L","A")),IF(X396&lt;=19,"L","A"))),
     IF(OR(V396="ALI",V396="AIE"),IF(Z396&gt;=6,IF(X396&gt;=20,"H","A"),IF(Z396&gt;=2,IF(X396&gt;=51,"H",IF(X396&lt;=19,"L","A")),IF(X396&lt;=50,"L","A"))))))),
IF('Dados da OS'!$D$8=Parâmetros!$B$6,"Indicativa",
IF('Dados da OS'!$D$8=Parâmetros!$B$5,"PFS","")))</f>
        <v/>
      </c>
      <c r="AF396" s="57">
        <f>IFERROR(VLOOKUP(W396,'Fatores de Impacto e INMs'!$A$3:$D$32,3,0),1)</f>
        <v>1</v>
      </c>
      <c r="AG396" s="57">
        <f>IFERROR(VLOOKUP(W396,'Fatores de Impacto e INMs'!$A$3:$E$32,5,0),1)</f>
        <v>1</v>
      </c>
      <c r="AH396" s="82" t="str">
        <f xml:space="preserve">
IF(OR('Dados da OS'!$D$8="Selecione o tipo da contagem",ISBLANK('Dados da OS'!$D$8),V396="INM",V396="N/A",ISBLANK(V396),ISBLANK(W396),AG396="VF"),"-",
   IF('Dados da OS'!$D$8=Parâmetros!$B$3,
      IF(OR(ISBLANK(X396),ISBLANK(Z396)),"-",
         IF(AE396="L","Baixa",IF(AE396="A","Média",IF(AE396="H","Alta","-")))),
      IF('Dados da OS'!$D$8=Parâmetros!$B$4,
         IF(OR(V396="ALI",V396="AIE"),"Baixa",IF(OR(V396="EE",V396="SE",V396="CE"),"Média","-")),
         IF(OR('Dados da OS'!$D$8=Parâmetros!$B$5,'Dados da OS'!$D$8=Parâmetros!$B$6),"-"))))</f>
        <v>-</v>
      </c>
      <c r="AI396" s="83" t="str">
        <f xml:space="preserve">
IF(OR(ISBLANK(V396),ISBLANK(U396),ISBLANK(W396),V396="N/A",ISBLANK('Dados da OS'!$D$8)),"",
   IF(OR('Dados da OS'!$D$8=Parâmetros!$B$3,'Dados da OS'!$D$8=Parâmetros!$B$4),
      IF(OR(AND(V396="INM",AG396&lt;&gt;"VF"),AND(AG396="VF",V396&lt;&gt;"INM")),"",
        IF(AND(V396="INM",AG396="VF"),IF(ISBLANK(AB396),"",AF396*AB396),
        IF('Dados da OS'!$D$8=Parâmetros!$B$4,
           IF(OR(V396="CE",V396="EE"),4,IF(V396="SE",5,IF(V396="ALI",7,IF(V396="AIE",5,"")))),
        IF('Dados da OS'!$D$8=Parâmetros!$B$3,
           IF(OR(ISBLANK(X396),ISBLANK(Z396)),"",
              IF(V396="ALI",IF(AE396="L",7,IF(AE396="A",10,15)),
                 IF(V396="AIE",IF(AE396="L",5,IF(AE396="A",7,10)),
                    IF(V396="SE",IF(AE396="L",4,IF(AE396="A",5,7)),
                       IF(OR(V396="EE",V396="CE"),IF(AE396="L",3,IF(AE396="A",4,6)),""))))))))),
   IF('Dados da OS'!$D$8=Parâmetros!$B$5,
      IF(OR(AND(V396="INM",AG396&lt;&gt;"VF"),AND(AG396="VF",V396&lt;&gt;"INM")),"",
         IF(V396="INM",IF(AG396="VF",AF396*AB396,""),
            IF(V396="PE",4.6,
            IF(V396="AL",7,"")))),
   IF('Dados da OS'!$D$8=Parâmetros!$B$6,
      IF(V396="ALI",35,IF(V396="AIE",15,"")),""))
    )
)</f>
        <v/>
      </c>
      <c r="AJ396" s="82" t="str">
        <f t="shared" si="46"/>
        <v/>
      </c>
      <c r="AK396" s="84"/>
      <c r="AL396" s="85" t="s">
        <v>21</v>
      </c>
      <c r="AM396" s="86"/>
      <c r="AN396" s="85"/>
      <c r="AO396" s="87"/>
      <c r="AP396" s="85"/>
      <c r="AQ396" s="86"/>
      <c r="AR396" s="85"/>
    </row>
    <row r="397" spans="1:44" ht="15.75" customHeight="1">
      <c r="A397" s="54"/>
      <c r="B397" s="100"/>
      <c r="C397" s="55"/>
      <c r="D397" s="55"/>
      <c r="E397" s="56"/>
      <c r="F397" s="55"/>
      <c r="G397" s="56"/>
      <c r="H397" s="55"/>
      <c r="I397" s="64"/>
      <c r="J397" s="57" t="str">
        <f t="shared" si="41"/>
        <v/>
      </c>
      <c r="K397" s="57" t="str">
        <f t="shared" si="42"/>
        <v/>
      </c>
      <c r="L397" s="57" t="str">
        <f xml:space="preserve">
IF(OR('Dados da OS'!$D$8=Parâmetros!$B$3,'Dados da OS'!$D$8=Parâmetros!$B$4),
  IF(OR(ISBLANK(D397),ISBLANK(F397)),
     IF(OR(B397="ALI",B397="AIE"),"L",IF(ISBLANK(B397),"","A")),
     IF(B397="EE",IF(F397&gt;=3,IF(D397&gt;=5,"H","A"),
     IF(F397&gt;=2,IF(D397&gt;=16,"H",IF(D397&lt;=4,"L","A")),IF(D397&lt;=15,"L","A"))),
     IF(OR(B397="SE",B397="CE"),IF(F397&gt;=4,IF(D397&gt;=6,"H","A"),IF(F397&gt;=2,IF(D397&gt;=20,"H",IF(D397&lt;=5,"L","A")),IF(D397&lt;=19,"L","A"))),
     IF(OR(B397="ALI",B397="AIE"),IF(F397&gt;=6,IF(D397&gt;=20,"H","A"),IF(F397&gt;=2,IF(D397&gt;=51,"H",IF(D397&lt;=19,"L","A")),IF(D397&lt;=50,"L","A"))))))),
IF('Dados da OS'!$D$8=Parâmetros!$B$6,"Indicativa",
IF('Dados da OS'!$D$8=Parâmetros!$B$5,"PFS","")))</f>
        <v/>
      </c>
      <c r="M397" s="57">
        <f>IFERROR(VLOOKUP(C397,'Fatores de Impacto e INMs'!$A$3:$D$32,3,0),1)</f>
        <v>1</v>
      </c>
      <c r="N397" s="57">
        <f>IFERROR(VLOOKUP(C397,'Fatores de Impacto e INMs'!$A$3:$E$32,5,0),1)</f>
        <v>1</v>
      </c>
      <c r="O397" s="63" t="str">
        <f xml:space="preserve">
IF(OR('Dados da OS'!$D$8="Selecione o tipo da contagem",ISBLANK('Dados da OS'!$D$8),B397="INM",B397="N/A",ISBLANK(B397),ISBLANK(C397),N397="VF"),"-",
   IF('Dados da OS'!$D$8=Parâmetros!$B$3,
      IF(OR(ISBLANK(D397),ISBLANK(F397)),"-",
         IF(L397="L","Baixa",IF(L397="A","Média",IF(L397="H","Alta","-")))),
      IF('Dados da OS'!$D$8=Parâmetros!$B$4,
         IF(OR(B397="ALI",B397="AIE"),"Baixa",IF(OR(B397="EE",B397="SE",B397="CE"),"Média","-")),
         IF(OR('Dados da OS'!$D$8=Parâmetros!$B$5,'Dados da OS'!$D$8=Parâmetros!$B$6),"-"))))</f>
        <v>-</v>
      </c>
      <c r="P397" s="59" t="str">
        <f xml:space="preserve">
IF(OR(ISBLANK(B397),ISBLANK(C397),B397="N/A",ISBLANK('Dados da OS'!$D$8)),"",
   IF(OR('Dados da OS'!$D$8=Parâmetros!$B$3,'Dados da OS'!$D$8=Parâmetros!$B$4),
      IF(OR(AND(B397="INM",N397&lt;&gt;"VF"),AND(N397="VF",B397&lt;&gt;"INM")),"",
        IF(AND(B397="INM",N397="VF"),IF(ISBLANK(H397),"",M397*H397),
        IF('Dados da OS'!$D$8=Parâmetros!$B$4,
           IF(OR(B397="CE",B397="EE"),4,IF(B397="SE",5,IF(B397="ALI",7,IF(B397="AIE",5,"")))),
        IF('Dados da OS'!$D$8=Parâmetros!$B$3,
           IF(OR(ISBLANK(D397),ISBLANK(F397)),"",
              IF(B397="ALI",IF(L397="L",7,IF(L397="A",10,15)),
                 IF(B397="AIE",IF(L397="L",5,IF(L397="A",7,10)),
                    IF(B397="SE",IF(L397="L",4,IF(L397="A",5,7)),
                       IF(OR(B397="EE",B397="CE"),IF(L397="L",3,IF(L397="A",4,6)),""))))))))),
   IF('Dados da OS'!$D$8=Parâmetros!$B$5,
      IF(OR(AND(B397="INM",N397&lt;&gt;"VF"),AND(N397="VF",B397&lt;&gt;"INM")),"",
         IF(B397="INM",IF(N397="VF",M397*H397,""),
            IF(B397="PE",4.6,
            IF(B397="AL",7,"")))),
   IF('Dados da OS'!$D$8=Parâmetros!$B$6,
      IF(B397="ALI",35,IF(B397="AIE",15,"")),""))
    )
)</f>
        <v/>
      </c>
      <c r="Q397" s="60" t="str">
        <f t="shared" si="43"/>
        <v/>
      </c>
      <c r="R397" s="61"/>
      <c r="S397" s="62"/>
      <c r="T397" s="80" t="s">
        <v>21</v>
      </c>
      <c r="U397" s="81"/>
      <c r="V397" s="99"/>
      <c r="W397" s="55"/>
      <c r="X397" s="55"/>
      <c r="Y397" s="56"/>
      <c r="Z397" s="55"/>
      <c r="AA397" s="56"/>
      <c r="AB397" s="55"/>
      <c r="AC397" s="57" t="str">
        <f t="shared" si="44"/>
        <v/>
      </c>
      <c r="AD397" s="57" t="str">
        <f t="shared" si="45"/>
        <v/>
      </c>
      <c r="AE397" s="57" t="str">
        <f xml:space="preserve">
IF(OR('Dados da OS'!$D$8=Parâmetros!$B$3,'Dados da OS'!$D$8=Parâmetros!$B$4),
  IF(OR(ISBLANK(X397),ISBLANK(Z397)),
     IF(OR(V397="ALI",V397="AIE"),"L",IF(ISBLANK(V397),"","A")),
     IF(V397="EE",IF(Z397&gt;=3,IF(X397&gt;=5,"H","A"),
     IF(Z397&gt;=2,IF(X397&gt;=16,"H",IF(X397&lt;=4,"L","A")),IF(X397&lt;=15,"L","A"))),
     IF(OR(V397="SE",V397="CE"),IF(Z397&gt;=4,IF(X397&gt;=6,"H","A"),IF(Z397&gt;=2,IF(X397&gt;=20,"H",IF(X397&lt;=5,"L","A")),IF(X397&lt;=19,"L","A"))),
     IF(OR(V397="ALI",V397="AIE"),IF(Z397&gt;=6,IF(X397&gt;=20,"H","A"),IF(Z397&gt;=2,IF(X397&gt;=51,"H",IF(X397&lt;=19,"L","A")),IF(X397&lt;=50,"L","A"))))))),
IF('Dados da OS'!$D$8=Parâmetros!$B$6,"Indicativa",
IF('Dados da OS'!$D$8=Parâmetros!$B$5,"PFS","")))</f>
        <v/>
      </c>
      <c r="AF397" s="57">
        <f>IFERROR(VLOOKUP(W397,'Fatores de Impacto e INMs'!$A$3:$D$32,3,0),1)</f>
        <v>1</v>
      </c>
      <c r="AG397" s="57">
        <f>IFERROR(VLOOKUP(W397,'Fatores de Impacto e INMs'!$A$3:$E$32,5,0),1)</f>
        <v>1</v>
      </c>
      <c r="AH397" s="82" t="str">
        <f xml:space="preserve">
IF(OR('Dados da OS'!$D$8="Selecione o tipo da contagem",ISBLANK('Dados da OS'!$D$8),V397="INM",V397="N/A",ISBLANK(V397),ISBLANK(W397),AG397="VF"),"-",
   IF('Dados da OS'!$D$8=Parâmetros!$B$3,
      IF(OR(ISBLANK(X397),ISBLANK(Z397)),"-",
         IF(AE397="L","Baixa",IF(AE397="A","Média",IF(AE397="H","Alta","-")))),
      IF('Dados da OS'!$D$8=Parâmetros!$B$4,
         IF(OR(V397="ALI",V397="AIE"),"Baixa",IF(OR(V397="EE",V397="SE",V397="CE"),"Média","-")),
         IF(OR('Dados da OS'!$D$8=Parâmetros!$B$5,'Dados da OS'!$D$8=Parâmetros!$B$6),"-"))))</f>
        <v>-</v>
      </c>
      <c r="AI397" s="83" t="str">
        <f xml:space="preserve">
IF(OR(ISBLANK(V397),ISBLANK(U397),ISBLANK(W397),V397="N/A",ISBLANK('Dados da OS'!$D$8)),"",
   IF(OR('Dados da OS'!$D$8=Parâmetros!$B$3,'Dados da OS'!$D$8=Parâmetros!$B$4),
      IF(OR(AND(V397="INM",AG397&lt;&gt;"VF"),AND(AG397="VF",V397&lt;&gt;"INM")),"",
        IF(AND(V397="INM",AG397="VF"),IF(ISBLANK(AB397),"",AF397*AB397),
        IF('Dados da OS'!$D$8=Parâmetros!$B$4,
           IF(OR(V397="CE",V397="EE"),4,IF(V397="SE",5,IF(V397="ALI",7,IF(V397="AIE",5,"")))),
        IF('Dados da OS'!$D$8=Parâmetros!$B$3,
           IF(OR(ISBLANK(X397),ISBLANK(Z397)),"",
              IF(V397="ALI",IF(AE397="L",7,IF(AE397="A",10,15)),
                 IF(V397="AIE",IF(AE397="L",5,IF(AE397="A",7,10)),
                    IF(V397="SE",IF(AE397="L",4,IF(AE397="A",5,7)),
                       IF(OR(V397="EE",V397="CE"),IF(AE397="L",3,IF(AE397="A",4,6)),""))))))))),
   IF('Dados da OS'!$D$8=Parâmetros!$B$5,
      IF(OR(AND(V397="INM",AG397&lt;&gt;"VF"),AND(AG397="VF",V397&lt;&gt;"INM")),"",
         IF(V397="INM",IF(AG397="VF",AF397*AB397,""),
            IF(V397="PE",4.6,
            IF(V397="AL",7,"")))),
   IF('Dados da OS'!$D$8=Parâmetros!$B$6,
      IF(V397="ALI",35,IF(V397="AIE",15,"")),""))
    )
)</f>
        <v/>
      </c>
      <c r="AJ397" s="82" t="str">
        <f t="shared" si="46"/>
        <v/>
      </c>
      <c r="AK397" s="84"/>
      <c r="AL397" s="85" t="s">
        <v>21</v>
      </c>
      <c r="AM397" s="86"/>
      <c r="AN397" s="85"/>
      <c r="AO397" s="87"/>
      <c r="AP397" s="85"/>
      <c r="AQ397" s="86"/>
      <c r="AR397" s="85"/>
    </row>
    <row r="398" spans="1:44" ht="15.75" customHeight="1">
      <c r="A398" s="54"/>
      <c r="B398" s="100"/>
      <c r="C398" s="55"/>
      <c r="D398" s="55"/>
      <c r="E398" s="56"/>
      <c r="F398" s="55"/>
      <c r="G398" s="56"/>
      <c r="H398" s="55"/>
      <c r="I398" s="64"/>
      <c r="J398" s="57" t="str">
        <f t="shared" si="41"/>
        <v/>
      </c>
      <c r="K398" s="57" t="str">
        <f t="shared" si="42"/>
        <v/>
      </c>
      <c r="L398" s="57" t="str">
        <f xml:space="preserve">
IF(OR('Dados da OS'!$D$8=Parâmetros!$B$3,'Dados da OS'!$D$8=Parâmetros!$B$4),
  IF(OR(ISBLANK(D398),ISBLANK(F398)),
     IF(OR(B398="ALI",B398="AIE"),"L",IF(ISBLANK(B398),"","A")),
     IF(B398="EE",IF(F398&gt;=3,IF(D398&gt;=5,"H","A"),
     IF(F398&gt;=2,IF(D398&gt;=16,"H",IF(D398&lt;=4,"L","A")),IF(D398&lt;=15,"L","A"))),
     IF(OR(B398="SE",B398="CE"),IF(F398&gt;=4,IF(D398&gt;=6,"H","A"),IF(F398&gt;=2,IF(D398&gt;=20,"H",IF(D398&lt;=5,"L","A")),IF(D398&lt;=19,"L","A"))),
     IF(OR(B398="ALI",B398="AIE"),IF(F398&gt;=6,IF(D398&gt;=20,"H","A"),IF(F398&gt;=2,IF(D398&gt;=51,"H",IF(D398&lt;=19,"L","A")),IF(D398&lt;=50,"L","A"))))))),
IF('Dados da OS'!$D$8=Parâmetros!$B$6,"Indicativa",
IF('Dados da OS'!$D$8=Parâmetros!$B$5,"PFS","")))</f>
        <v/>
      </c>
      <c r="M398" s="57">
        <f>IFERROR(VLOOKUP(C398,'Fatores de Impacto e INMs'!$A$3:$D$32,3,0),1)</f>
        <v>1</v>
      </c>
      <c r="N398" s="57">
        <f>IFERROR(VLOOKUP(C398,'Fatores de Impacto e INMs'!$A$3:$E$32,5,0),1)</f>
        <v>1</v>
      </c>
      <c r="O398" s="63" t="str">
        <f xml:space="preserve">
IF(OR('Dados da OS'!$D$8="Selecione o tipo da contagem",ISBLANK('Dados da OS'!$D$8),B398="INM",B398="N/A",ISBLANK(B398),ISBLANK(C398),N398="VF"),"-",
   IF('Dados da OS'!$D$8=Parâmetros!$B$3,
      IF(OR(ISBLANK(D398),ISBLANK(F398)),"-",
         IF(L398="L","Baixa",IF(L398="A","Média",IF(L398="H","Alta","-")))),
      IF('Dados da OS'!$D$8=Parâmetros!$B$4,
         IF(OR(B398="ALI",B398="AIE"),"Baixa",IF(OR(B398="EE",B398="SE",B398="CE"),"Média","-")),
         IF(OR('Dados da OS'!$D$8=Parâmetros!$B$5,'Dados da OS'!$D$8=Parâmetros!$B$6),"-"))))</f>
        <v>-</v>
      </c>
      <c r="P398" s="59" t="str">
        <f xml:space="preserve">
IF(OR(ISBLANK(B398),ISBLANK(C398),B398="N/A",ISBLANK('Dados da OS'!$D$8)),"",
   IF(OR('Dados da OS'!$D$8=Parâmetros!$B$3,'Dados da OS'!$D$8=Parâmetros!$B$4),
      IF(OR(AND(B398="INM",N398&lt;&gt;"VF"),AND(N398="VF",B398&lt;&gt;"INM")),"",
        IF(AND(B398="INM",N398="VF"),IF(ISBLANK(H398),"",M398*H398),
        IF('Dados da OS'!$D$8=Parâmetros!$B$4,
           IF(OR(B398="CE",B398="EE"),4,IF(B398="SE",5,IF(B398="ALI",7,IF(B398="AIE",5,"")))),
        IF('Dados da OS'!$D$8=Parâmetros!$B$3,
           IF(OR(ISBLANK(D398),ISBLANK(F398)),"",
              IF(B398="ALI",IF(L398="L",7,IF(L398="A",10,15)),
                 IF(B398="AIE",IF(L398="L",5,IF(L398="A",7,10)),
                    IF(B398="SE",IF(L398="L",4,IF(L398="A",5,7)),
                       IF(OR(B398="EE",B398="CE"),IF(L398="L",3,IF(L398="A",4,6)),""))))))))),
   IF('Dados da OS'!$D$8=Parâmetros!$B$5,
      IF(OR(AND(B398="INM",N398&lt;&gt;"VF"),AND(N398="VF",B398&lt;&gt;"INM")),"",
         IF(B398="INM",IF(N398="VF",M398*H398,""),
            IF(B398="PE",4.6,
            IF(B398="AL",7,"")))),
   IF('Dados da OS'!$D$8=Parâmetros!$B$6,
      IF(B398="ALI",35,IF(B398="AIE",15,"")),""))
    )
)</f>
        <v/>
      </c>
      <c r="Q398" s="60" t="str">
        <f t="shared" si="43"/>
        <v/>
      </c>
      <c r="R398" s="61"/>
      <c r="S398" s="62"/>
      <c r="T398" s="80" t="s">
        <v>21</v>
      </c>
      <c r="U398" s="81"/>
      <c r="V398" s="99"/>
      <c r="W398" s="55"/>
      <c r="X398" s="55"/>
      <c r="Y398" s="56"/>
      <c r="Z398" s="55"/>
      <c r="AA398" s="56"/>
      <c r="AB398" s="55"/>
      <c r="AC398" s="57" t="str">
        <f t="shared" si="44"/>
        <v/>
      </c>
      <c r="AD398" s="57" t="str">
        <f t="shared" si="45"/>
        <v/>
      </c>
      <c r="AE398" s="57" t="str">
        <f xml:space="preserve">
IF(OR('Dados da OS'!$D$8=Parâmetros!$B$3,'Dados da OS'!$D$8=Parâmetros!$B$4),
  IF(OR(ISBLANK(X398),ISBLANK(Z398)),
     IF(OR(V398="ALI",V398="AIE"),"L",IF(ISBLANK(V398),"","A")),
     IF(V398="EE",IF(Z398&gt;=3,IF(X398&gt;=5,"H","A"),
     IF(Z398&gt;=2,IF(X398&gt;=16,"H",IF(X398&lt;=4,"L","A")),IF(X398&lt;=15,"L","A"))),
     IF(OR(V398="SE",V398="CE"),IF(Z398&gt;=4,IF(X398&gt;=6,"H","A"),IF(Z398&gt;=2,IF(X398&gt;=20,"H",IF(X398&lt;=5,"L","A")),IF(X398&lt;=19,"L","A"))),
     IF(OR(V398="ALI",V398="AIE"),IF(Z398&gt;=6,IF(X398&gt;=20,"H","A"),IF(Z398&gt;=2,IF(X398&gt;=51,"H",IF(X398&lt;=19,"L","A")),IF(X398&lt;=50,"L","A"))))))),
IF('Dados da OS'!$D$8=Parâmetros!$B$6,"Indicativa",
IF('Dados da OS'!$D$8=Parâmetros!$B$5,"PFS","")))</f>
        <v/>
      </c>
      <c r="AF398" s="57">
        <f>IFERROR(VLOOKUP(W398,'Fatores de Impacto e INMs'!$A$3:$D$32,3,0),1)</f>
        <v>1</v>
      </c>
      <c r="AG398" s="57">
        <f>IFERROR(VLOOKUP(W398,'Fatores de Impacto e INMs'!$A$3:$E$32,5,0),1)</f>
        <v>1</v>
      </c>
      <c r="AH398" s="82" t="str">
        <f xml:space="preserve">
IF(OR('Dados da OS'!$D$8="Selecione o tipo da contagem",ISBLANK('Dados da OS'!$D$8),V398="INM",V398="N/A",ISBLANK(V398),ISBLANK(W398),AG398="VF"),"-",
   IF('Dados da OS'!$D$8=Parâmetros!$B$3,
      IF(OR(ISBLANK(X398),ISBLANK(Z398)),"-",
         IF(AE398="L","Baixa",IF(AE398="A","Média",IF(AE398="H","Alta","-")))),
      IF('Dados da OS'!$D$8=Parâmetros!$B$4,
         IF(OR(V398="ALI",V398="AIE"),"Baixa",IF(OR(V398="EE",V398="SE",V398="CE"),"Média","-")),
         IF(OR('Dados da OS'!$D$8=Parâmetros!$B$5,'Dados da OS'!$D$8=Parâmetros!$B$6),"-"))))</f>
        <v>-</v>
      </c>
      <c r="AI398" s="83" t="str">
        <f xml:space="preserve">
IF(OR(ISBLANK(V398),ISBLANK(U398),ISBLANK(W398),V398="N/A",ISBLANK('Dados da OS'!$D$8)),"",
   IF(OR('Dados da OS'!$D$8=Parâmetros!$B$3,'Dados da OS'!$D$8=Parâmetros!$B$4),
      IF(OR(AND(V398="INM",AG398&lt;&gt;"VF"),AND(AG398="VF",V398&lt;&gt;"INM")),"",
        IF(AND(V398="INM",AG398="VF"),IF(ISBLANK(AB398),"",AF398*AB398),
        IF('Dados da OS'!$D$8=Parâmetros!$B$4,
           IF(OR(V398="CE",V398="EE"),4,IF(V398="SE",5,IF(V398="ALI",7,IF(V398="AIE",5,"")))),
        IF('Dados da OS'!$D$8=Parâmetros!$B$3,
           IF(OR(ISBLANK(X398),ISBLANK(Z398)),"",
              IF(V398="ALI",IF(AE398="L",7,IF(AE398="A",10,15)),
                 IF(V398="AIE",IF(AE398="L",5,IF(AE398="A",7,10)),
                    IF(V398="SE",IF(AE398="L",4,IF(AE398="A",5,7)),
                       IF(OR(V398="EE",V398="CE"),IF(AE398="L",3,IF(AE398="A",4,6)),""))))))))),
   IF('Dados da OS'!$D$8=Parâmetros!$B$5,
      IF(OR(AND(V398="INM",AG398&lt;&gt;"VF"),AND(AG398="VF",V398&lt;&gt;"INM")),"",
         IF(V398="INM",IF(AG398="VF",AF398*AB398,""),
            IF(V398="PE",4.6,
            IF(V398="AL",7,"")))),
   IF('Dados da OS'!$D$8=Parâmetros!$B$6,
      IF(V398="ALI",35,IF(V398="AIE",15,"")),""))
    )
)</f>
        <v/>
      </c>
      <c r="AJ398" s="82" t="str">
        <f t="shared" si="46"/>
        <v/>
      </c>
      <c r="AK398" s="84"/>
      <c r="AL398" s="85" t="s">
        <v>21</v>
      </c>
      <c r="AM398" s="86"/>
      <c r="AN398" s="85"/>
      <c r="AO398" s="87"/>
      <c r="AP398" s="85"/>
      <c r="AQ398" s="86"/>
      <c r="AR398" s="85"/>
    </row>
    <row r="399" spans="1:44" ht="15.75" customHeight="1">
      <c r="A399" s="54"/>
      <c r="B399" s="100"/>
      <c r="C399" s="55"/>
      <c r="D399" s="55"/>
      <c r="E399" s="56"/>
      <c r="F399" s="55"/>
      <c r="G399" s="56"/>
      <c r="H399" s="55"/>
      <c r="I399" s="64"/>
      <c r="J399" s="57" t="str">
        <f t="shared" si="41"/>
        <v/>
      </c>
      <c r="K399" s="57" t="str">
        <f t="shared" si="42"/>
        <v/>
      </c>
      <c r="L399" s="57" t="str">
        <f xml:space="preserve">
IF(OR('Dados da OS'!$D$8=Parâmetros!$B$3,'Dados da OS'!$D$8=Parâmetros!$B$4),
  IF(OR(ISBLANK(D399),ISBLANK(F399)),
     IF(OR(B399="ALI",B399="AIE"),"L",IF(ISBLANK(B399),"","A")),
     IF(B399="EE",IF(F399&gt;=3,IF(D399&gt;=5,"H","A"),
     IF(F399&gt;=2,IF(D399&gt;=16,"H",IF(D399&lt;=4,"L","A")),IF(D399&lt;=15,"L","A"))),
     IF(OR(B399="SE",B399="CE"),IF(F399&gt;=4,IF(D399&gt;=6,"H","A"),IF(F399&gt;=2,IF(D399&gt;=20,"H",IF(D399&lt;=5,"L","A")),IF(D399&lt;=19,"L","A"))),
     IF(OR(B399="ALI",B399="AIE"),IF(F399&gt;=6,IF(D399&gt;=20,"H","A"),IF(F399&gt;=2,IF(D399&gt;=51,"H",IF(D399&lt;=19,"L","A")),IF(D399&lt;=50,"L","A"))))))),
IF('Dados da OS'!$D$8=Parâmetros!$B$6,"Indicativa",
IF('Dados da OS'!$D$8=Parâmetros!$B$5,"PFS","")))</f>
        <v/>
      </c>
      <c r="M399" s="57">
        <f>IFERROR(VLOOKUP(C399,'Fatores de Impacto e INMs'!$A$3:$D$32,3,0),1)</f>
        <v>1</v>
      </c>
      <c r="N399" s="57">
        <f>IFERROR(VLOOKUP(C399,'Fatores de Impacto e INMs'!$A$3:$E$32,5,0),1)</f>
        <v>1</v>
      </c>
      <c r="O399" s="63" t="str">
        <f xml:space="preserve">
IF(OR('Dados da OS'!$D$8="Selecione o tipo da contagem",ISBLANK('Dados da OS'!$D$8),B399="INM",B399="N/A",ISBLANK(B399),ISBLANK(C399),N399="VF"),"-",
   IF('Dados da OS'!$D$8=Parâmetros!$B$3,
      IF(OR(ISBLANK(D399),ISBLANK(F399)),"-",
         IF(L399="L","Baixa",IF(L399="A","Média",IF(L399="H","Alta","-")))),
      IF('Dados da OS'!$D$8=Parâmetros!$B$4,
         IF(OR(B399="ALI",B399="AIE"),"Baixa",IF(OR(B399="EE",B399="SE",B399="CE"),"Média","-")),
         IF(OR('Dados da OS'!$D$8=Parâmetros!$B$5,'Dados da OS'!$D$8=Parâmetros!$B$6),"-"))))</f>
        <v>-</v>
      </c>
      <c r="P399" s="59" t="str">
        <f xml:space="preserve">
IF(OR(ISBLANK(B399),ISBLANK(C399),B399="N/A",ISBLANK('Dados da OS'!$D$8)),"",
   IF(OR('Dados da OS'!$D$8=Parâmetros!$B$3,'Dados da OS'!$D$8=Parâmetros!$B$4),
      IF(OR(AND(B399="INM",N399&lt;&gt;"VF"),AND(N399="VF",B399&lt;&gt;"INM")),"",
        IF(AND(B399="INM",N399="VF"),IF(ISBLANK(H399),"",M399*H399),
        IF('Dados da OS'!$D$8=Parâmetros!$B$4,
           IF(OR(B399="CE",B399="EE"),4,IF(B399="SE",5,IF(B399="ALI",7,IF(B399="AIE",5,"")))),
        IF('Dados da OS'!$D$8=Parâmetros!$B$3,
           IF(OR(ISBLANK(D399),ISBLANK(F399)),"",
              IF(B399="ALI",IF(L399="L",7,IF(L399="A",10,15)),
                 IF(B399="AIE",IF(L399="L",5,IF(L399="A",7,10)),
                    IF(B399="SE",IF(L399="L",4,IF(L399="A",5,7)),
                       IF(OR(B399="EE",B399="CE"),IF(L399="L",3,IF(L399="A",4,6)),""))))))))),
   IF('Dados da OS'!$D$8=Parâmetros!$B$5,
      IF(OR(AND(B399="INM",N399&lt;&gt;"VF"),AND(N399="VF",B399&lt;&gt;"INM")),"",
         IF(B399="INM",IF(N399="VF",M399*H399,""),
            IF(B399="PE",4.6,
            IF(B399="AL",7,"")))),
   IF('Dados da OS'!$D$8=Parâmetros!$B$6,
      IF(B399="ALI",35,IF(B399="AIE",15,"")),""))
    )
)</f>
        <v/>
      </c>
      <c r="Q399" s="60" t="str">
        <f t="shared" si="43"/>
        <v/>
      </c>
      <c r="R399" s="61"/>
      <c r="S399" s="62"/>
      <c r="T399" s="80" t="s">
        <v>21</v>
      </c>
      <c r="U399" s="81"/>
      <c r="V399" s="99"/>
      <c r="W399" s="55"/>
      <c r="X399" s="55"/>
      <c r="Y399" s="56"/>
      <c r="Z399" s="55"/>
      <c r="AA399" s="56"/>
      <c r="AB399" s="55"/>
      <c r="AC399" s="57" t="str">
        <f t="shared" si="44"/>
        <v/>
      </c>
      <c r="AD399" s="57" t="str">
        <f t="shared" si="45"/>
        <v/>
      </c>
      <c r="AE399" s="57" t="str">
        <f xml:space="preserve">
IF(OR('Dados da OS'!$D$8=Parâmetros!$B$3,'Dados da OS'!$D$8=Parâmetros!$B$4),
  IF(OR(ISBLANK(X399),ISBLANK(Z399)),
     IF(OR(V399="ALI",V399="AIE"),"L",IF(ISBLANK(V399),"","A")),
     IF(V399="EE",IF(Z399&gt;=3,IF(X399&gt;=5,"H","A"),
     IF(Z399&gt;=2,IF(X399&gt;=16,"H",IF(X399&lt;=4,"L","A")),IF(X399&lt;=15,"L","A"))),
     IF(OR(V399="SE",V399="CE"),IF(Z399&gt;=4,IF(X399&gt;=6,"H","A"),IF(Z399&gt;=2,IF(X399&gt;=20,"H",IF(X399&lt;=5,"L","A")),IF(X399&lt;=19,"L","A"))),
     IF(OR(V399="ALI",V399="AIE"),IF(Z399&gt;=6,IF(X399&gt;=20,"H","A"),IF(Z399&gt;=2,IF(X399&gt;=51,"H",IF(X399&lt;=19,"L","A")),IF(X399&lt;=50,"L","A"))))))),
IF('Dados da OS'!$D$8=Parâmetros!$B$6,"Indicativa",
IF('Dados da OS'!$D$8=Parâmetros!$B$5,"PFS","")))</f>
        <v/>
      </c>
      <c r="AF399" s="57">
        <f>IFERROR(VLOOKUP(W399,'Fatores de Impacto e INMs'!$A$3:$D$32,3,0),1)</f>
        <v>1</v>
      </c>
      <c r="AG399" s="57">
        <f>IFERROR(VLOOKUP(W399,'Fatores de Impacto e INMs'!$A$3:$E$32,5,0),1)</f>
        <v>1</v>
      </c>
      <c r="AH399" s="82" t="str">
        <f xml:space="preserve">
IF(OR('Dados da OS'!$D$8="Selecione o tipo da contagem",ISBLANK('Dados da OS'!$D$8),V399="INM",V399="N/A",ISBLANK(V399),ISBLANK(W399),AG399="VF"),"-",
   IF('Dados da OS'!$D$8=Parâmetros!$B$3,
      IF(OR(ISBLANK(X399),ISBLANK(Z399)),"-",
         IF(AE399="L","Baixa",IF(AE399="A","Média",IF(AE399="H","Alta","-")))),
      IF('Dados da OS'!$D$8=Parâmetros!$B$4,
         IF(OR(V399="ALI",V399="AIE"),"Baixa",IF(OR(V399="EE",V399="SE",V399="CE"),"Média","-")),
         IF(OR('Dados da OS'!$D$8=Parâmetros!$B$5,'Dados da OS'!$D$8=Parâmetros!$B$6),"-"))))</f>
        <v>-</v>
      </c>
      <c r="AI399" s="83" t="str">
        <f xml:space="preserve">
IF(OR(ISBLANK(V399),ISBLANK(U399),ISBLANK(W399),V399="N/A",ISBLANK('Dados da OS'!$D$8)),"",
   IF(OR('Dados da OS'!$D$8=Parâmetros!$B$3,'Dados da OS'!$D$8=Parâmetros!$B$4),
      IF(OR(AND(V399="INM",AG399&lt;&gt;"VF"),AND(AG399="VF",V399&lt;&gt;"INM")),"",
        IF(AND(V399="INM",AG399="VF"),IF(ISBLANK(AB399),"",AF399*AB399),
        IF('Dados da OS'!$D$8=Parâmetros!$B$4,
           IF(OR(V399="CE",V399="EE"),4,IF(V399="SE",5,IF(V399="ALI",7,IF(V399="AIE",5,"")))),
        IF('Dados da OS'!$D$8=Parâmetros!$B$3,
           IF(OR(ISBLANK(X399),ISBLANK(Z399)),"",
              IF(V399="ALI",IF(AE399="L",7,IF(AE399="A",10,15)),
                 IF(V399="AIE",IF(AE399="L",5,IF(AE399="A",7,10)),
                    IF(V399="SE",IF(AE399="L",4,IF(AE399="A",5,7)),
                       IF(OR(V399="EE",V399="CE"),IF(AE399="L",3,IF(AE399="A",4,6)),""))))))))),
   IF('Dados da OS'!$D$8=Parâmetros!$B$5,
      IF(OR(AND(V399="INM",AG399&lt;&gt;"VF"),AND(AG399="VF",V399&lt;&gt;"INM")),"",
         IF(V399="INM",IF(AG399="VF",AF399*AB399,""),
            IF(V399="PE",4.6,
            IF(V399="AL",7,"")))),
   IF('Dados da OS'!$D$8=Parâmetros!$B$6,
      IF(V399="ALI",35,IF(V399="AIE",15,"")),""))
    )
)</f>
        <v/>
      </c>
      <c r="AJ399" s="82" t="str">
        <f t="shared" si="46"/>
        <v/>
      </c>
      <c r="AK399" s="84"/>
      <c r="AL399" s="85" t="s">
        <v>21</v>
      </c>
      <c r="AM399" s="86"/>
      <c r="AN399" s="85"/>
      <c r="AO399" s="87"/>
      <c r="AP399" s="85"/>
      <c r="AQ399" s="86"/>
      <c r="AR399" s="85"/>
    </row>
    <row r="400" spans="1:44" ht="15.75" customHeight="1">
      <c r="A400" s="54"/>
      <c r="B400" s="100"/>
      <c r="C400" s="55"/>
      <c r="D400" s="55"/>
      <c r="E400" s="56"/>
      <c r="F400" s="55"/>
      <c r="G400" s="56"/>
      <c r="H400" s="55"/>
      <c r="I400" s="64"/>
      <c r="J400" s="57" t="str">
        <f t="shared" si="41"/>
        <v/>
      </c>
      <c r="K400" s="57" t="str">
        <f t="shared" si="42"/>
        <v/>
      </c>
      <c r="L400" s="57" t="str">
        <f xml:space="preserve">
IF(OR('Dados da OS'!$D$8=Parâmetros!$B$3,'Dados da OS'!$D$8=Parâmetros!$B$4),
  IF(OR(ISBLANK(D400),ISBLANK(F400)),
     IF(OR(B400="ALI",B400="AIE"),"L",IF(ISBLANK(B400),"","A")),
     IF(B400="EE",IF(F400&gt;=3,IF(D400&gt;=5,"H","A"),
     IF(F400&gt;=2,IF(D400&gt;=16,"H",IF(D400&lt;=4,"L","A")),IF(D400&lt;=15,"L","A"))),
     IF(OR(B400="SE",B400="CE"),IF(F400&gt;=4,IF(D400&gt;=6,"H","A"),IF(F400&gt;=2,IF(D400&gt;=20,"H",IF(D400&lt;=5,"L","A")),IF(D400&lt;=19,"L","A"))),
     IF(OR(B400="ALI",B400="AIE"),IF(F400&gt;=6,IF(D400&gt;=20,"H","A"),IF(F400&gt;=2,IF(D400&gt;=51,"H",IF(D400&lt;=19,"L","A")),IF(D400&lt;=50,"L","A"))))))),
IF('Dados da OS'!$D$8=Parâmetros!$B$6,"Indicativa",
IF('Dados da OS'!$D$8=Parâmetros!$B$5,"PFS","")))</f>
        <v/>
      </c>
      <c r="M400" s="57">
        <f>IFERROR(VLOOKUP(C400,'Fatores de Impacto e INMs'!$A$3:$D$32,3,0),1)</f>
        <v>1</v>
      </c>
      <c r="N400" s="57">
        <f>IFERROR(VLOOKUP(C400,'Fatores de Impacto e INMs'!$A$3:$E$32,5,0),1)</f>
        <v>1</v>
      </c>
      <c r="O400" s="63" t="str">
        <f xml:space="preserve">
IF(OR('Dados da OS'!$D$8="Selecione o tipo da contagem",ISBLANK('Dados da OS'!$D$8),B400="INM",B400="N/A",ISBLANK(B400),ISBLANK(C400),N400="VF"),"-",
   IF('Dados da OS'!$D$8=Parâmetros!$B$3,
      IF(OR(ISBLANK(D400),ISBLANK(F400)),"-",
         IF(L400="L","Baixa",IF(L400="A","Média",IF(L400="H","Alta","-")))),
      IF('Dados da OS'!$D$8=Parâmetros!$B$4,
         IF(OR(B400="ALI",B400="AIE"),"Baixa",IF(OR(B400="EE",B400="SE",B400="CE"),"Média","-")),
         IF(OR('Dados da OS'!$D$8=Parâmetros!$B$5,'Dados da OS'!$D$8=Parâmetros!$B$6),"-"))))</f>
        <v>-</v>
      </c>
      <c r="P400" s="59" t="str">
        <f xml:space="preserve">
IF(OR(ISBLANK(B400),ISBLANK(C400),B400="N/A",ISBLANK('Dados da OS'!$D$8)),"",
   IF(OR('Dados da OS'!$D$8=Parâmetros!$B$3,'Dados da OS'!$D$8=Parâmetros!$B$4),
      IF(OR(AND(B400="INM",N400&lt;&gt;"VF"),AND(N400="VF",B400&lt;&gt;"INM")),"",
        IF(AND(B400="INM",N400="VF"),IF(ISBLANK(H400),"",M400*H400),
        IF('Dados da OS'!$D$8=Parâmetros!$B$4,
           IF(OR(B400="CE",B400="EE"),4,IF(B400="SE",5,IF(B400="ALI",7,IF(B400="AIE",5,"")))),
        IF('Dados da OS'!$D$8=Parâmetros!$B$3,
           IF(OR(ISBLANK(D400),ISBLANK(F400)),"",
              IF(B400="ALI",IF(L400="L",7,IF(L400="A",10,15)),
                 IF(B400="AIE",IF(L400="L",5,IF(L400="A",7,10)),
                    IF(B400="SE",IF(L400="L",4,IF(L400="A",5,7)),
                       IF(OR(B400="EE",B400="CE"),IF(L400="L",3,IF(L400="A",4,6)),""))))))))),
   IF('Dados da OS'!$D$8=Parâmetros!$B$5,
      IF(OR(AND(B400="INM",N400&lt;&gt;"VF"),AND(N400="VF",B400&lt;&gt;"INM")),"",
         IF(B400="INM",IF(N400="VF",M400*H400,""),
            IF(B400="PE",4.6,
            IF(B400="AL",7,"")))),
   IF('Dados da OS'!$D$8=Parâmetros!$B$6,
      IF(B400="ALI",35,IF(B400="AIE",15,"")),""))
    )
)</f>
        <v/>
      </c>
      <c r="Q400" s="60" t="str">
        <f t="shared" si="43"/>
        <v/>
      </c>
      <c r="R400" s="61"/>
      <c r="S400" s="62"/>
      <c r="T400" s="80" t="s">
        <v>21</v>
      </c>
      <c r="U400" s="81"/>
      <c r="V400" s="99"/>
      <c r="W400" s="55"/>
      <c r="X400" s="55"/>
      <c r="Y400" s="56"/>
      <c r="Z400" s="55"/>
      <c r="AA400" s="56"/>
      <c r="AB400" s="55"/>
      <c r="AC400" s="57" t="str">
        <f t="shared" si="44"/>
        <v/>
      </c>
      <c r="AD400" s="57" t="str">
        <f t="shared" si="45"/>
        <v/>
      </c>
      <c r="AE400" s="57" t="str">
        <f xml:space="preserve">
IF(OR('Dados da OS'!$D$8=Parâmetros!$B$3,'Dados da OS'!$D$8=Parâmetros!$B$4),
  IF(OR(ISBLANK(X400),ISBLANK(Z400)),
     IF(OR(V400="ALI",V400="AIE"),"L",IF(ISBLANK(V400),"","A")),
     IF(V400="EE",IF(Z400&gt;=3,IF(X400&gt;=5,"H","A"),
     IF(Z400&gt;=2,IF(X400&gt;=16,"H",IF(X400&lt;=4,"L","A")),IF(X400&lt;=15,"L","A"))),
     IF(OR(V400="SE",V400="CE"),IF(Z400&gt;=4,IF(X400&gt;=6,"H","A"),IF(Z400&gt;=2,IF(X400&gt;=20,"H",IF(X400&lt;=5,"L","A")),IF(X400&lt;=19,"L","A"))),
     IF(OR(V400="ALI",V400="AIE"),IF(Z400&gt;=6,IF(X400&gt;=20,"H","A"),IF(Z400&gt;=2,IF(X400&gt;=51,"H",IF(X400&lt;=19,"L","A")),IF(X400&lt;=50,"L","A"))))))),
IF('Dados da OS'!$D$8=Parâmetros!$B$6,"Indicativa",
IF('Dados da OS'!$D$8=Parâmetros!$B$5,"PFS","")))</f>
        <v/>
      </c>
      <c r="AF400" s="57">
        <f>IFERROR(VLOOKUP(W400,'Fatores de Impacto e INMs'!$A$3:$D$32,3,0),1)</f>
        <v>1</v>
      </c>
      <c r="AG400" s="57">
        <f>IFERROR(VLOOKUP(W400,'Fatores de Impacto e INMs'!$A$3:$E$32,5,0),1)</f>
        <v>1</v>
      </c>
      <c r="AH400" s="82" t="str">
        <f xml:space="preserve">
IF(OR('Dados da OS'!$D$8="Selecione o tipo da contagem",ISBLANK('Dados da OS'!$D$8),V400="INM",V400="N/A",ISBLANK(V400),ISBLANK(W400),AG400="VF"),"-",
   IF('Dados da OS'!$D$8=Parâmetros!$B$3,
      IF(OR(ISBLANK(X400),ISBLANK(Z400)),"-",
         IF(AE400="L","Baixa",IF(AE400="A","Média",IF(AE400="H","Alta","-")))),
      IF('Dados da OS'!$D$8=Parâmetros!$B$4,
         IF(OR(V400="ALI",V400="AIE"),"Baixa",IF(OR(V400="EE",V400="SE",V400="CE"),"Média","-")),
         IF(OR('Dados da OS'!$D$8=Parâmetros!$B$5,'Dados da OS'!$D$8=Parâmetros!$B$6),"-"))))</f>
        <v>-</v>
      </c>
      <c r="AI400" s="83" t="str">
        <f xml:space="preserve">
IF(OR(ISBLANK(V400),ISBLANK(U400),ISBLANK(W400),V400="N/A",ISBLANK('Dados da OS'!$D$8)),"",
   IF(OR('Dados da OS'!$D$8=Parâmetros!$B$3,'Dados da OS'!$D$8=Parâmetros!$B$4),
      IF(OR(AND(V400="INM",AG400&lt;&gt;"VF"),AND(AG400="VF",V400&lt;&gt;"INM")),"",
        IF(AND(V400="INM",AG400="VF"),IF(ISBLANK(AB400),"",AF400*AB400),
        IF('Dados da OS'!$D$8=Parâmetros!$B$4,
           IF(OR(V400="CE",V400="EE"),4,IF(V400="SE",5,IF(V400="ALI",7,IF(V400="AIE",5,"")))),
        IF('Dados da OS'!$D$8=Parâmetros!$B$3,
           IF(OR(ISBLANK(X400),ISBLANK(Z400)),"",
              IF(V400="ALI",IF(AE400="L",7,IF(AE400="A",10,15)),
                 IF(V400="AIE",IF(AE400="L",5,IF(AE400="A",7,10)),
                    IF(V400="SE",IF(AE400="L",4,IF(AE400="A",5,7)),
                       IF(OR(V400="EE",V400="CE"),IF(AE400="L",3,IF(AE400="A",4,6)),""))))))))),
   IF('Dados da OS'!$D$8=Parâmetros!$B$5,
      IF(OR(AND(V400="INM",AG400&lt;&gt;"VF"),AND(AG400="VF",V400&lt;&gt;"INM")),"",
         IF(V400="INM",IF(AG400="VF",AF400*AB400,""),
            IF(V400="PE",4.6,
            IF(V400="AL",7,"")))),
   IF('Dados da OS'!$D$8=Parâmetros!$B$6,
      IF(V400="ALI",35,IF(V400="AIE",15,"")),""))
    )
)</f>
        <v/>
      </c>
      <c r="AJ400" s="82" t="str">
        <f t="shared" si="46"/>
        <v/>
      </c>
      <c r="AK400" s="84"/>
      <c r="AL400" s="85" t="s">
        <v>21</v>
      </c>
      <c r="AM400" s="86"/>
      <c r="AN400" s="85"/>
      <c r="AO400" s="87"/>
      <c r="AP400" s="85"/>
      <c r="AQ400" s="86"/>
      <c r="AR400" s="85"/>
    </row>
    <row r="401" spans="1:44" ht="15.75" customHeight="1">
      <c r="A401" s="54"/>
      <c r="B401" s="100"/>
      <c r="C401" s="55"/>
      <c r="D401" s="55"/>
      <c r="E401" s="56"/>
      <c r="F401" s="55"/>
      <c r="G401" s="56"/>
      <c r="H401" s="55"/>
      <c r="I401" s="64"/>
      <c r="J401" s="57" t="str">
        <f t="shared" si="41"/>
        <v/>
      </c>
      <c r="K401" s="57" t="str">
        <f t="shared" si="42"/>
        <v/>
      </c>
      <c r="L401" s="57" t="str">
        <f xml:space="preserve">
IF(OR('Dados da OS'!$D$8=Parâmetros!$B$3,'Dados da OS'!$D$8=Parâmetros!$B$4),
  IF(OR(ISBLANK(D401),ISBLANK(F401)),
     IF(OR(B401="ALI",B401="AIE"),"L",IF(ISBLANK(B401),"","A")),
     IF(B401="EE",IF(F401&gt;=3,IF(D401&gt;=5,"H","A"),
     IF(F401&gt;=2,IF(D401&gt;=16,"H",IF(D401&lt;=4,"L","A")),IF(D401&lt;=15,"L","A"))),
     IF(OR(B401="SE",B401="CE"),IF(F401&gt;=4,IF(D401&gt;=6,"H","A"),IF(F401&gt;=2,IF(D401&gt;=20,"H",IF(D401&lt;=5,"L","A")),IF(D401&lt;=19,"L","A"))),
     IF(OR(B401="ALI",B401="AIE"),IF(F401&gt;=6,IF(D401&gt;=20,"H","A"),IF(F401&gt;=2,IF(D401&gt;=51,"H",IF(D401&lt;=19,"L","A")),IF(D401&lt;=50,"L","A"))))))),
IF('Dados da OS'!$D$8=Parâmetros!$B$6,"Indicativa",
IF('Dados da OS'!$D$8=Parâmetros!$B$5,"PFS","")))</f>
        <v/>
      </c>
      <c r="M401" s="57">
        <f>IFERROR(VLOOKUP(C401,'Fatores de Impacto e INMs'!$A$3:$D$32,3,0),1)</f>
        <v>1</v>
      </c>
      <c r="N401" s="57">
        <f>IFERROR(VLOOKUP(C401,'Fatores de Impacto e INMs'!$A$3:$E$32,5,0),1)</f>
        <v>1</v>
      </c>
      <c r="O401" s="63" t="str">
        <f xml:space="preserve">
IF(OR('Dados da OS'!$D$8="Selecione o tipo da contagem",ISBLANK('Dados da OS'!$D$8),B401="INM",B401="N/A",ISBLANK(B401),ISBLANK(C401),N401="VF"),"-",
   IF('Dados da OS'!$D$8=Parâmetros!$B$3,
      IF(OR(ISBLANK(D401),ISBLANK(F401)),"-",
         IF(L401="L","Baixa",IF(L401="A","Média",IF(L401="H","Alta","-")))),
      IF('Dados da OS'!$D$8=Parâmetros!$B$4,
         IF(OR(B401="ALI",B401="AIE"),"Baixa",IF(OR(B401="EE",B401="SE",B401="CE"),"Média","-")),
         IF(OR('Dados da OS'!$D$8=Parâmetros!$B$5,'Dados da OS'!$D$8=Parâmetros!$B$6),"-"))))</f>
        <v>-</v>
      </c>
      <c r="P401" s="59" t="str">
        <f xml:space="preserve">
IF(OR(ISBLANK(B401),ISBLANK(C401),B401="N/A",ISBLANK('Dados da OS'!$D$8)),"",
   IF(OR('Dados da OS'!$D$8=Parâmetros!$B$3,'Dados da OS'!$D$8=Parâmetros!$B$4),
      IF(OR(AND(B401="INM",N401&lt;&gt;"VF"),AND(N401="VF",B401&lt;&gt;"INM")),"",
        IF(AND(B401="INM",N401="VF"),IF(ISBLANK(H401),"",M401*H401),
        IF('Dados da OS'!$D$8=Parâmetros!$B$4,
           IF(OR(B401="CE",B401="EE"),4,IF(B401="SE",5,IF(B401="ALI",7,IF(B401="AIE",5,"")))),
        IF('Dados da OS'!$D$8=Parâmetros!$B$3,
           IF(OR(ISBLANK(D401),ISBLANK(F401)),"",
              IF(B401="ALI",IF(L401="L",7,IF(L401="A",10,15)),
                 IF(B401="AIE",IF(L401="L",5,IF(L401="A",7,10)),
                    IF(B401="SE",IF(L401="L",4,IF(L401="A",5,7)),
                       IF(OR(B401="EE",B401="CE"),IF(L401="L",3,IF(L401="A",4,6)),""))))))))),
   IF('Dados da OS'!$D$8=Parâmetros!$B$5,
      IF(OR(AND(B401="INM",N401&lt;&gt;"VF"),AND(N401="VF",B401&lt;&gt;"INM")),"",
         IF(B401="INM",IF(N401="VF",M401*H401,""),
            IF(B401="PE",4.6,
            IF(B401="AL",7,"")))),
   IF('Dados da OS'!$D$8=Parâmetros!$B$6,
      IF(B401="ALI",35,IF(B401="AIE",15,"")),""))
    )
)</f>
        <v/>
      </c>
      <c r="Q401" s="60" t="str">
        <f t="shared" si="43"/>
        <v/>
      </c>
      <c r="R401" s="61"/>
      <c r="S401" s="62"/>
      <c r="T401" s="80" t="s">
        <v>21</v>
      </c>
      <c r="U401" s="81"/>
      <c r="V401" s="99"/>
      <c r="W401" s="55"/>
      <c r="X401" s="55"/>
      <c r="Y401" s="56"/>
      <c r="Z401" s="55"/>
      <c r="AA401" s="56"/>
      <c r="AB401" s="55"/>
      <c r="AC401" s="57" t="str">
        <f t="shared" si="44"/>
        <v/>
      </c>
      <c r="AD401" s="57" t="str">
        <f t="shared" si="45"/>
        <v/>
      </c>
      <c r="AE401" s="57" t="str">
        <f xml:space="preserve">
IF(OR('Dados da OS'!$D$8=Parâmetros!$B$3,'Dados da OS'!$D$8=Parâmetros!$B$4),
  IF(OR(ISBLANK(X401),ISBLANK(Z401)),
     IF(OR(V401="ALI",V401="AIE"),"L",IF(ISBLANK(V401),"","A")),
     IF(V401="EE",IF(Z401&gt;=3,IF(X401&gt;=5,"H","A"),
     IF(Z401&gt;=2,IF(X401&gt;=16,"H",IF(X401&lt;=4,"L","A")),IF(X401&lt;=15,"L","A"))),
     IF(OR(V401="SE",V401="CE"),IF(Z401&gt;=4,IF(X401&gt;=6,"H","A"),IF(Z401&gt;=2,IF(X401&gt;=20,"H",IF(X401&lt;=5,"L","A")),IF(X401&lt;=19,"L","A"))),
     IF(OR(V401="ALI",V401="AIE"),IF(Z401&gt;=6,IF(X401&gt;=20,"H","A"),IF(Z401&gt;=2,IF(X401&gt;=51,"H",IF(X401&lt;=19,"L","A")),IF(X401&lt;=50,"L","A"))))))),
IF('Dados da OS'!$D$8=Parâmetros!$B$6,"Indicativa",
IF('Dados da OS'!$D$8=Parâmetros!$B$5,"PFS","")))</f>
        <v/>
      </c>
      <c r="AF401" s="57">
        <f>IFERROR(VLOOKUP(W401,'Fatores de Impacto e INMs'!$A$3:$D$32,3,0),1)</f>
        <v>1</v>
      </c>
      <c r="AG401" s="57">
        <f>IFERROR(VLOOKUP(W401,'Fatores de Impacto e INMs'!$A$3:$E$32,5,0),1)</f>
        <v>1</v>
      </c>
      <c r="AH401" s="82" t="str">
        <f xml:space="preserve">
IF(OR('Dados da OS'!$D$8="Selecione o tipo da contagem",ISBLANK('Dados da OS'!$D$8),V401="INM",V401="N/A",ISBLANK(V401),ISBLANK(W401),AG401="VF"),"-",
   IF('Dados da OS'!$D$8=Parâmetros!$B$3,
      IF(OR(ISBLANK(X401),ISBLANK(Z401)),"-",
         IF(AE401="L","Baixa",IF(AE401="A","Média",IF(AE401="H","Alta","-")))),
      IF('Dados da OS'!$D$8=Parâmetros!$B$4,
         IF(OR(V401="ALI",V401="AIE"),"Baixa",IF(OR(V401="EE",V401="SE",V401="CE"),"Média","-")),
         IF(OR('Dados da OS'!$D$8=Parâmetros!$B$5,'Dados da OS'!$D$8=Parâmetros!$B$6),"-"))))</f>
        <v>-</v>
      </c>
      <c r="AI401" s="83" t="str">
        <f xml:space="preserve">
IF(OR(ISBLANK(V401),ISBLANK(U401),ISBLANK(W401),V401="N/A",ISBLANK('Dados da OS'!$D$8)),"",
   IF(OR('Dados da OS'!$D$8=Parâmetros!$B$3,'Dados da OS'!$D$8=Parâmetros!$B$4),
      IF(OR(AND(V401="INM",AG401&lt;&gt;"VF"),AND(AG401="VF",V401&lt;&gt;"INM")),"",
        IF(AND(V401="INM",AG401="VF"),IF(ISBLANK(AB401),"",AF401*AB401),
        IF('Dados da OS'!$D$8=Parâmetros!$B$4,
           IF(OR(V401="CE",V401="EE"),4,IF(V401="SE",5,IF(V401="ALI",7,IF(V401="AIE",5,"")))),
        IF('Dados da OS'!$D$8=Parâmetros!$B$3,
           IF(OR(ISBLANK(X401),ISBLANK(Z401)),"",
              IF(V401="ALI",IF(AE401="L",7,IF(AE401="A",10,15)),
                 IF(V401="AIE",IF(AE401="L",5,IF(AE401="A",7,10)),
                    IF(V401="SE",IF(AE401="L",4,IF(AE401="A",5,7)),
                       IF(OR(V401="EE",V401="CE"),IF(AE401="L",3,IF(AE401="A",4,6)),""))))))))),
   IF('Dados da OS'!$D$8=Parâmetros!$B$5,
      IF(OR(AND(V401="INM",AG401&lt;&gt;"VF"),AND(AG401="VF",V401&lt;&gt;"INM")),"",
         IF(V401="INM",IF(AG401="VF",AF401*AB401,""),
            IF(V401="PE",4.6,
            IF(V401="AL",7,"")))),
   IF('Dados da OS'!$D$8=Parâmetros!$B$6,
      IF(V401="ALI",35,IF(V401="AIE",15,"")),""))
    )
)</f>
        <v/>
      </c>
      <c r="AJ401" s="82" t="str">
        <f t="shared" si="46"/>
        <v/>
      </c>
      <c r="AK401" s="84"/>
      <c r="AL401" s="85" t="s">
        <v>21</v>
      </c>
      <c r="AM401" s="86"/>
      <c r="AN401" s="85"/>
      <c r="AO401" s="87"/>
      <c r="AP401" s="85"/>
      <c r="AQ401" s="86"/>
      <c r="AR401" s="85"/>
    </row>
    <row r="402" spans="1:44" ht="15.75" customHeight="1">
      <c r="A402" s="54"/>
      <c r="B402" s="100"/>
      <c r="C402" s="55"/>
      <c r="D402" s="55"/>
      <c r="E402" s="56"/>
      <c r="F402" s="55"/>
      <c r="G402" s="56"/>
      <c r="H402" s="55"/>
      <c r="I402" s="64"/>
      <c r="J402" s="57" t="str">
        <f t="shared" si="41"/>
        <v/>
      </c>
      <c r="K402" s="57" t="str">
        <f t="shared" si="42"/>
        <v/>
      </c>
      <c r="L402" s="57" t="str">
        <f xml:space="preserve">
IF(OR('Dados da OS'!$D$8=Parâmetros!$B$3,'Dados da OS'!$D$8=Parâmetros!$B$4),
  IF(OR(ISBLANK(D402),ISBLANK(F402)),
     IF(OR(B402="ALI",B402="AIE"),"L",IF(ISBLANK(B402),"","A")),
     IF(B402="EE",IF(F402&gt;=3,IF(D402&gt;=5,"H","A"),
     IF(F402&gt;=2,IF(D402&gt;=16,"H",IF(D402&lt;=4,"L","A")),IF(D402&lt;=15,"L","A"))),
     IF(OR(B402="SE",B402="CE"),IF(F402&gt;=4,IF(D402&gt;=6,"H","A"),IF(F402&gt;=2,IF(D402&gt;=20,"H",IF(D402&lt;=5,"L","A")),IF(D402&lt;=19,"L","A"))),
     IF(OR(B402="ALI",B402="AIE"),IF(F402&gt;=6,IF(D402&gt;=20,"H","A"),IF(F402&gt;=2,IF(D402&gt;=51,"H",IF(D402&lt;=19,"L","A")),IF(D402&lt;=50,"L","A"))))))),
IF('Dados da OS'!$D$8=Parâmetros!$B$6,"Indicativa",
IF('Dados da OS'!$D$8=Parâmetros!$B$5,"PFS","")))</f>
        <v/>
      </c>
      <c r="M402" s="57">
        <f>IFERROR(VLOOKUP(C402,'Fatores de Impacto e INMs'!$A$3:$D$32,3,0),1)</f>
        <v>1</v>
      </c>
      <c r="N402" s="57">
        <f>IFERROR(VLOOKUP(C402,'Fatores de Impacto e INMs'!$A$3:$E$32,5,0),1)</f>
        <v>1</v>
      </c>
      <c r="O402" s="63" t="str">
        <f xml:space="preserve">
IF(OR('Dados da OS'!$D$8="Selecione o tipo da contagem",ISBLANK('Dados da OS'!$D$8),B402="INM",B402="N/A",ISBLANK(B402),ISBLANK(C402),N402="VF"),"-",
   IF('Dados da OS'!$D$8=Parâmetros!$B$3,
      IF(OR(ISBLANK(D402),ISBLANK(F402)),"-",
         IF(L402="L","Baixa",IF(L402="A","Média",IF(L402="H","Alta","-")))),
      IF('Dados da OS'!$D$8=Parâmetros!$B$4,
         IF(OR(B402="ALI",B402="AIE"),"Baixa",IF(OR(B402="EE",B402="SE",B402="CE"),"Média","-")),
         IF(OR('Dados da OS'!$D$8=Parâmetros!$B$5,'Dados da OS'!$D$8=Parâmetros!$B$6),"-"))))</f>
        <v>-</v>
      </c>
      <c r="P402" s="59" t="str">
        <f xml:space="preserve">
IF(OR(ISBLANK(B402),ISBLANK(C402),B402="N/A",ISBLANK('Dados da OS'!$D$8)),"",
   IF(OR('Dados da OS'!$D$8=Parâmetros!$B$3,'Dados da OS'!$D$8=Parâmetros!$B$4),
      IF(OR(AND(B402="INM",N402&lt;&gt;"VF"),AND(N402="VF",B402&lt;&gt;"INM")),"",
        IF(AND(B402="INM",N402="VF"),IF(ISBLANK(H402),"",M402*H402),
        IF('Dados da OS'!$D$8=Parâmetros!$B$4,
           IF(OR(B402="CE",B402="EE"),4,IF(B402="SE",5,IF(B402="ALI",7,IF(B402="AIE",5,"")))),
        IF('Dados da OS'!$D$8=Parâmetros!$B$3,
           IF(OR(ISBLANK(D402),ISBLANK(F402)),"",
              IF(B402="ALI",IF(L402="L",7,IF(L402="A",10,15)),
                 IF(B402="AIE",IF(L402="L",5,IF(L402="A",7,10)),
                    IF(B402="SE",IF(L402="L",4,IF(L402="A",5,7)),
                       IF(OR(B402="EE",B402="CE"),IF(L402="L",3,IF(L402="A",4,6)),""))))))))),
   IF('Dados da OS'!$D$8=Parâmetros!$B$5,
      IF(OR(AND(B402="INM",N402&lt;&gt;"VF"),AND(N402="VF",B402&lt;&gt;"INM")),"",
         IF(B402="INM",IF(N402="VF",M402*H402,""),
            IF(B402="PE",4.6,
            IF(B402="AL",7,"")))),
   IF('Dados da OS'!$D$8=Parâmetros!$B$6,
      IF(B402="ALI",35,IF(B402="AIE",15,"")),""))
    )
)</f>
        <v/>
      </c>
      <c r="Q402" s="60" t="str">
        <f t="shared" si="43"/>
        <v/>
      </c>
      <c r="R402" s="61"/>
      <c r="S402" s="62"/>
      <c r="T402" s="80" t="s">
        <v>21</v>
      </c>
      <c r="U402" s="81"/>
      <c r="V402" s="99"/>
      <c r="W402" s="55"/>
      <c r="X402" s="55"/>
      <c r="Y402" s="56"/>
      <c r="Z402" s="55"/>
      <c r="AA402" s="56"/>
      <c r="AB402" s="55"/>
      <c r="AC402" s="57" t="str">
        <f t="shared" si="44"/>
        <v/>
      </c>
      <c r="AD402" s="57" t="str">
        <f t="shared" si="45"/>
        <v/>
      </c>
      <c r="AE402" s="57" t="str">
        <f xml:space="preserve">
IF(OR('Dados da OS'!$D$8=Parâmetros!$B$3,'Dados da OS'!$D$8=Parâmetros!$B$4),
  IF(OR(ISBLANK(X402),ISBLANK(Z402)),
     IF(OR(V402="ALI",V402="AIE"),"L",IF(ISBLANK(V402),"","A")),
     IF(V402="EE",IF(Z402&gt;=3,IF(X402&gt;=5,"H","A"),
     IF(Z402&gt;=2,IF(X402&gt;=16,"H",IF(X402&lt;=4,"L","A")),IF(X402&lt;=15,"L","A"))),
     IF(OR(V402="SE",V402="CE"),IF(Z402&gt;=4,IF(X402&gt;=6,"H","A"),IF(Z402&gt;=2,IF(X402&gt;=20,"H",IF(X402&lt;=5,"L","A")),IF(X402&lt;=19,"L","A"))),
     IF(OR(V402="ALI",V402="AIE"),IF(Z402&gt;=6,IF(X402&gt;=20,"H","A"),IF(Z402&gt;=2,IF(X402&gt;=51,"H",IF(X402&lt;=19,"L","A")),IF(X402&lt;=50,"L","A"))))))),
IF('Dados da OS'!$D$8=Parâmetros!$B$6,"Indicativa",
IF('Dados da OS'!$D$8=Parâmetros!$B$5,"PFS","")))</f>
        <v/>
      </c>
      <c r="AF402" s="57">
        <f>IFERROR(VLOOKUP(W402,'Fatores de Impacto e INMs'!$A$3:$D$32,3,0),1)</f>
        <v>1</v>
      </c>
      <c r="AG402" s="57">
        <f>IFERROR(VLOOKUP(W402,'Fatores de Impacto e INMs'!$A$3:$E$32,5,0),1)</f>
        <v>1</v>
      </c>
      <c r="AH402" s="82" t="str">
        <f xml:space="preserve">
IF(OR('Dados da OS'!$D$8="Selecione o tipo da contagem",ISBLANK('Dados da OS'!$D$8),V402="INM",V402="N/A",ISBLANK(V402),ISBLANK(W402),AG402="VF"),"-",
   IF('Dados da OS'!$D$8=Parâmetros!$B$3,
      IF(OR(ISBLANK(X402),ISBLANK(Z402)),"-",
         IF(AE402="L","Baixa",IF(AE402="A","Média",IF(AE402="H","Alta","-")))),
      IF('Dados da OS'!$D$8=Parâmetros!$B$4,
         IF(OR(V402="ALI",V402="AIE"),"Baixa",IF(OR(V402="EE",V402="SE",V402="CE"),"Média","-")),
         IF(OR('Dados da OS'!$D$8=Parâmetros!$B$5,'Dados da OS'!$D$8=Parâmetros!$B$6),"-"))))</f>
        <v>-</v>
      </c>
      <c r="AI402" s="83" t="str">
        <f xml:space="preserve">
IF(OR(ISBLANK(V402),ISBLANK(U402),ISBLANK(W402),V402="N/A",ISBLANK('Dados da OS'!$D$8)),"",
   IF(OR('Dados da OS'!$D$8=Parâmetros!$B$3,'Dados da OS'!$D$8=Parâmetros!$B$4),
      IF(OR(AND(V402="INM",AG402&lt;&gt;"VF"),AND(AG402="VF",V402&lt;&gt;"INM")),"",
        IF(AND(V402="INM",AG402="VF"),IF(ISBLANK(AB402),"",AF402*AB402),
        IF('Dados da OS'!$D$8=Parâmetros!$B$4,
           IF(OR(V402="CE",V402="EE"),4,IF(V402="SE",5,IF(V402="ALI",7,IF(V402="AIE",5,"")))),
        IF('Dados da OS'!$D$8=Parâmetros!$B$3,
           IF(OR(ISBLANK(X402),ISBLANK(Z402)),"",
              IF(V402="ALI",IF(AE402="L",7,IF(AE402="A",10,15)),
                 IF(V402="AIE",IF(AE402="L",5,IF(AE402="A",7,10)),
                    IF(V402="SE",IF(AE402="L",4,IF(AE402="A",5,7)),
                       IF(OR(V402="EE",V402="CE"),IF(AE402="L",3,IF(AE402="A",4,6)),""))))))))),
   IF('Dados da OS'!$D$8=Parâmetros!$B$5,
      IF(OR(AND(V402="INM",AG402&lt;&gt;"VF"),AND(AG402="VF",V402&lt;&gt;"INM")),"",
         IF(V402="INM",IF(AG402="VF",AF402*AB402,""),
            IF(V402="PE",4.6,
            IF(V402="AL",7,"")))),
   IF('Dados da OS'!$D$8=Parâmetros!$B$6,
      IF(V402="ALI",35,IF(V402="AIE",15,"")),""))
    )
)</f>
        <v/>
      </c>
      <c r="AJ402" s="82" t="str">
        <f t="shared" si="46"/>
        <v/>
      </c>
      <c r="AK402" s="84"/>
      <c r="AL402" s="85" t="s">
        <v>21</v>
      </c>
      <c r="AM402" s="86"/>
      <c r="AN402" s="85"/>
      <c r="AO402" s="87"/>
      <c r="AP402" s="85"/>
      <c r="AQ402" s="86"/>
      <c r="AR402" s="85"/>
    </row>
    <row r="403" spans="1:44" ht="15.75" customHeight="1">
      <c r="A403" s="54"/>
      <c r="B403" s="100"/>
      <c r="C403" s="55"/>
      <c r="D403" s="55"/>
      <c r="E403" s="56"/>
      <c r="F403" s="55"/>
      <c r="G403" s="56"/>
      <c r="H403" s="55"/>
      <c r="I403" s="64"/>
      <c r="J403" s="57" t="str">
        <f t="shared" si="41"/>
        <v/>
      </c>
      <c r="K403" s="57" t="str">
        <f t="shared" si="42"/>
        <v/>
      </c>
      <c r="L403" s="57" t="str">
        <f xml:space="preserve">
IF(OR('Dados da OS'!$D$8=Parâmetros!$B$3,'Dados da OS'!$D$8=Parâmetros!$B$4),
  IF(OR(ISBLANK(D403),ISBLANK(F403)),
     IF(OR(B403="ALI",B403="AIE"),"L",IF(ISBLANK(B403),"","A")),
     IF(B403="EE",IF(F403&gt;=3,IF(D403&gt;=5,"H","A"),
     IF(F403&gt;=2,IF(D403&gt;=16,"H",IF(D403&lt;=4,"L","A")),IF(D403&lt;=15,"L","A"))),
     IF(OR(B403="SE",B403="CE"),IF(F403&gt;=4,IF(D403&gt;=6,"H","A"),IF(F403&gt;=2,IF(D403&gt;=20,"H",IF(D403&lt;=5,"L","A")),IF(D403&lt;=19,"L","A"))),
     IF(OR(B403="ALI",B403="AIE"),IF(F403&gt;=6,IF(D403&gt;=20,"H","A"),IF(F403&gt;=2,IF(D403&gt;=51,"H",IF(D403&lt;=19,"L","A")),IF(D403&lt;=50,"L","A"))))))),
IF('Dados da OS'!$D$8=Parâmetros!$B$6,"Indicativa",
IF('Dados da OS'!$D$8=Parâmetros!$B$5,"PFS","")))</f>
        <v/>
      </c>
      <c r="M403" s="57">
        <f>IFERROR(VLOOKUP(C403,'Fatores de Impacto e INMs'!$A$3:$D$32,3,0),1)</f>
        <v>1</v>
      </c>
      <c r="N403" s="57">
        <f>IFERROR(VLOOKUP(C403,'Fatores de Impacto e INMs'!$A$3:$E$32,5,0),1)</f>
        <v>1</v>
      </c>
      <c r="O403" s="63" t="str">
        <f xml:space="preserve">
IF(OR('Dados da OS'!$D$8="Selecione o tipo da contagem",ISBLANK('Dados da OS'!$D$8),B403="INM",B403="N/A",ISBLANK(B403),ISBLANK(C403),N403="VF"),"-",
   IF('Dados da OS'!$D$8=Parâmetros!$B$3,
      IF(OR(ISBLANK(D403),ISBLANK(F403)),"-",
         IF(L403="L","Baixa",IF(L403="A","Média",IF(L403="H","Alta","-")))),
      IF('Dados da OS'!$D$8=Parâmetros!$B$4,
         IF(OR(B403="ALI",B403="AIE"),"Baixa",IF(OR(B403="EE",B403="SE",B403="CE"),"Média","-")),
         IF(OR('Dados da OS'!$D$8=Parâmetros!$B$5,'Dados da OS'!$D$8=Parâmetros!$B$6),"-"))))</f>
        <v>-</v>
      </c>
      <c r="P403" s="59" t="str">
        <f xml:space="preserve">
IF(OR(ISBLANK(B403),ISBLANK(C403),B403="N/A",ISBLANK('Dados da OS'!$D$8)),"",
   IF(OR('Dados da OS'!$D$8=Parâmetros!$B$3,'Dados da OS'!$D$8=Parâmetros!$B$4),
      IF(OR(AND(B403="INM",N403&lt;&gt;"VF"),AND(N403="VF",B403&lt;&gt;"INM")),"",
        IF(AND(B403="INM",N403="VF"),IF(ISBLANK(H403),"",M403*H403),
        IF('Dados da OS'!$D$8=Parâmetros!$B$4,
           IF(OR(B403="CE",B403="EE"),4,IF(B403="SE",5,IF(B403="ALI",7,IF(B403="AIE",5,"")))),
        IF('Dados da OS'!$D$8=Parâmetros!$B$3,
           IF(OR(ISBLANK(D403),ISBLANK(F403)),"",
              IF(B403="ALI",IF(L403="L",7,IF(L403="A",10,15)),
                 IF(B403="AIE",IF(L403="L",5,IF(L403="A",7,10)),
                    IF(B403="SE",IF(L403="L",4,IF(L403="A",5,7)),
                       IF(OR(B403="EE",B403="CE"),IF(L403="L",3,IF(L403="A",4,6)),""))))))))),
   IF('Dados da OS'!$D$8=Parâmetros!$B$5,
      IF(OR(AND(B403="INM",N403&lt;&gt;"VF"),AND(N403="VF",B403&lt;&gt;"INM")),"",
         IF(B403="INM",IF(N403="VF",M403*H403,""),
            IF(B403="PE",4.6,
            IF(B403="AL",7,"")))),
   IF('Dados da OS'!$D$8=Parâmetros!$B$6,
      IF(B403="ALI",35,IF(B403="AIE",15,"")),""))
    )
)</f>
        <v/>
      </c>
      <c r="Q403" s="60" t="str">
        <f t="shared" si="43"/>
        <v/>
      </c>
      <c r="R403" s="61"/>
      <c r="S403" s="62"/>
      <c r="T403" s="80" t="s">
        <v>21</v>
      </c>
      <c r="U403" s="81"/>
      <c r="V403" s="99"/>
      <c r="W403" s="55"/>
      <c r="X403" s="55"/>
      <c r="Y403" s="56"/>
      <c r="Z403" s="55"/>
      <c r="AA403" s="56"/>
      <c r="AB403" s="55"/>
      <c r="AC403" s="57" t="str">
        <f t="shared" si="44"/>
        <v/>
      </c>
      <c r="AD403" s="57" t="str">
        <f t="shared" si="45"/>
        <v/>
      </c>
      <c r="AE403" s="57" t="str">
        <f xml:space="preserve">
IF(OR('Dados da OS'!$D$8=Parâmetros!$B$3,'Dados da OS'!$D$8=Parâmetros!$B$4),
  IF(OR(ISBLANK(X403),ISBLANK(Z403)),
     IF(OR(V403="ALI",V403="AIE"),"L",IF(ISBLANK(V403),"","A")),
     IF(V403="EE",IF(Z403&gt;=3,IF(X403&gt;=5,"H","A"),
     IF(Z403&gt;=2,IF(X403&gt;=16,"H",IF(X403&lt;=4,"L","A")),IF(X403&lt;=15,"L","A"))),
     IF(OR(V403="SE",V403="CE"),IF(Z403&gt;=4,IF(X403&gt;=6,"H","A"),IF(Z403&gt;=2,IF(X403&gt;=20,"H",IF(X403&lt;=5,"L","A")),IF(X403&lt;=19,"L","A"))),
     IF(OR(V403="ALI",V403="AIE"),IF(Z403&gt;=6,IF(X403&gt;=20,"H","A"),IF(Z403&gt;=2,IF(X403&gt;=51,"H",IF(X403&lt;=19,"L","A")),IF(X403&lt;=50,"L","A"))))))),
IF('Dados da OS'!$D$8=Parâmetros!$B$6,"Indicativa",
IF('Dados da OS'!$D$8=Parâmetros!$B$5,"PFS","")))</f>
        <v/>
      </c>
      <c r="AF403" s="57">
        <f>IFERROR(VLOOKUP(W403,'Fatores de Impacto e INMs'!$A$3:$D$32,3,0),1)</f>
        <v>1</v>
      </c>
      <c r="AG403" s="57">
        <f>IFERROR(VLOOKUP(W403,'Fatores de Impacto e INMs'!$A$3:$E$32,5,0),1)</f>
        <v>1</v>
      </c>
      <c r="AH403" s="82" t="str">
        <f xml:space="preserve">
IF(OR('Dados da OS'!$D$8="Selecione o tipo da contagem",ISBLANK('Dados da OS'!$D$8),V403="INM",V403="N/A",ISBLANK(V403),ISBLANK(W403),AG403="VF"),"-",
   IF('Dados da OS'!$D$8=Parâmetros!$B$3,
      IF(OR(ISBLANK(X403),ISBLANK(Z403)),"-",
         IF(AE403="L","Baixa",IF(AE403="A","Média",IF(AE403="H","Alta","-")))),
      IF('Dados da OS'!$D$8=Parâmetros!$B$4,
         IF(OR(V403="ALI",V403="AIE"),"Baixa",IF(OR(V403="EE",V403="SE",V403="CE"),"Média","-")),
         IF(OR('Dados da OS'!$D$8=Parâmetros!$B$5,'Dados da OS'!$D$8=Parâmetros!$B$6),"-"))))</f>
        <v>-</v>
      </c>
      <c r="AI403" s="83" t="str">
        <f xml:space="preserve">
IF(OR(ISBLANK(V403),ISBLANK(U403),ISBLANK(W403),V403="N/A",ISBLANK('Dados da OS'!$D$8)),"",
   IF(OR('Dados da OS'!$D$8=Parâmetros!$B$3,'Dados da OS'!$D$8=Parâmetros!$B$4),
      IF(OR(AND(V403="INM",AG403&lt;&gt;"VF"),AND(AG403="VF",V403&lt;&gt;"INM")),"",
        IF(AND(V403="INM",AG403="VF"),IF(ISBLANK(AB403),"",AF403*AB403),
        IF('Dados da OS'!$D$8=Parâmetros!$B$4,
           IF(OR(V403="CE",V403="EE"),4,IF(V403="SE",5,IF(V403="ALI",7,IF(V403="AIE",5,"")))),
        IF('Dados da OS'!$D$8=Parâmetros!$B$3,
           IF(OR(ISBLANK(X403),ISBLANK(Z403)),"",
              IF(V403="ALI",IF(AE403="L",7,IF(AE403="A",10,15)),
                 IF(V403="AIE",IF(AE403="L",5,IF(AE403="A",7,10)),
                    IF(V403="SE",IF(AE403="L",4,IF(AE403="A",5,7)),
                       IF(OR(V403="EE",V403="CE"),IF(AE403="L",3,IF(AE403="A",4,6)),""))))))))),
   IF('Dados da OS'!$D$8=Parâmetros!$B$5,
      IF(OR(AND(V403="INM",AG403&lt;&gt;"VF"),AND(AG403="VF",V403&lt;&gt;"INM")),"",
         IF(V403="INM",IF(AG403="VF",AF403*AB403,""),
            IF(V403="PE",4.6,
            IF(V403="AL",7,"")))),
   IF('Dados da OS'!$D$8=Parâmetros!$B$6,
      IF(V403="ALI",35,IF(V403="AIE",15,"")),""))
    )
)</f>
        <v/>
      </c>
      <c r="AJ403" s="82" t="str">
        <f t="shared" si="46"/>
        <v/>
      </c>
      <c r="AK403" s="84"/>
      <c r="AL403" s="85" t="s">
        <v>21</v>
      </c>
      <c r="AM403" s="86"/>
      <c r="AN403" s="85"/>
      <c r="AO403" s="87"/>
      <c r="AP403" s="85"/>
      <c r="AQ403" s="86"/>
      <c r="AR403" s="85"/>
    </row>
    <row r="404" spans="1:44" ht="15.75" customHeight="1">
      <c r="A404" s="54"/>
      <c r="B404" s="100"/>
      <c r="C404" s="55"/>
      <c r="D404" s="55"/>
      <c r="E404" s="56"/>
      <c r="F404" s="55"/>
      <c r="G404" s="56"/>
      <c r="H404" s="55"/>
      <c r="I404" s="64"/>
      <c r="J404" s="57" t="str">
        <f t="shared" si="41"/>
        <v/>
      </c>
      <c r="K404" s="57" t="str">
        <f t="shared" si="42"/>
        <v/>
      </c>
      <c r="L404" s="57" t="str">
        <f xml:space="preserve">
IF(OR('Dados da OS'!$D$8=Parâmetros!$B$3,'Dados da OS'!$D$8=Parâmetros!$B$4),
  IF(OR(ISBLANK(D404),ISBLANK(F404)),
     IF(OR(B404="ALI",B404="AIE"),"L",IF(ISBLANK(B404),"","A")),
     IF(B404="EE",IF(F404&gt;=3,IF(D404&gt;=5,"H","A"),
     IF(F404&gt;=2,IF(D404&gt;=16,"H",IF(D404&lt;=4,"L","A")),IF(D404&lt;=15,"L","A"))),
     IF(OR(B404="SE",B404="CE"),IF(F404&gt;=4,IF(D404&gt;=6,"H","A"),IF(F404&gt;=2,IF(D404&gt;=20,"H",IF(D404&lt;=5,"L","A")),IF(D404&lt;=19,"L","A"))),
     IF(OR(B404="ALI",B404="AIE"),IF(F404&gt;=6,IF(D404&gt;=20,"H","A"),IF(F404&gt;=2,IF(D404&gt;=51,"H",IF(D404&lt;=19,"L","A")),IF(D404&lt;=50,"L","A"))))))),
IF('Dados da OS'!$D$8=Parâmetros!$B$6,"Indicativa",
IF('Dados da OS'!$D$8=Parâmetros!$B$5,"PFS","")))</f>
        <v/>
      </c>
      <c r="M404" s="57">
        <f>IFERROR(VLOOKUP(C404,'Fatores de Impacto e INMs'!$A$3:$D$32,3,0),1)</f>
        <v>1</v>
      </c>
      <c r="N404" s="57">
        <f>IFERROR(VLOOKUP(C404,'Fatores de Impacto e INMs'!$A$3:$E$32,5,0),1)</f>
        <v>1</v>
      </c>
      <c r="O404" s="63" t="str">
        <f xml:space="preserve">
IF(OR('Dados da OS'!$D$8="Selecione o tipo da contagem",ISBLANK('Dados da OS'!$D$8),B404="INM",B404="N/A",ISBLANK(B404),ISBLANK(C404),N404="VF"),"-",
   IF('Dados da OS'!$D$8=Parâmetros!$B$3,
      IF(OR(ISBLANK(D404),ISBLANK(F404)),"-",
         IF(L404="L","Baixa",IF(L404="A","Média",IF(L404="H","Alta","-")))),
      IF('Dados da OS'!$D$8=Parâmetros!$B$4,
         IF(OR(B404="ALI",B404="AIE"),"Baixa",IF(OR(B404="EE",B404="SE",B404="CE"),"Média","-")),
         IF(OR('Dados da OS'!$D$8=Parâmetros!$B$5,'Dados da OS'!$D$8=Parâmetros!$B$6),"-"))))</f>
        <v>-</v>
      </c>
      <c r="P404" s="59" t="str">
        <f xml:space="preserve">
IF(OR(ISBLANK(B404),ISBLANK(C404),B404="N/A",ISBLANK('Dados da OS'!$D$8)),"",
   IF(OR('Dados da OS'!$D$8=Parâmetros!$B$3,'Dados da OS'!$D$8=Parâmetros!$B$4),
      IF(OR(AND(B404="INM",N404&lt;&gt;"VF"),AND(N404="VF",B404&lt;&gt;"INM")),"",
        IF(AND(B404="INM",N404="VF"),IF(ISBLANK(H404),"",M404*H404),
        IF('Dados da OS'!$D$8=Parâmetros!$B$4,
           IF(OR(B404="CE",B404="EE"),4,IF(B404="SE",5,IF(B404="ALI",7,IF(B404="AIE",5,"")))),
        IF('Dados da OS'!$D$8=Parâmetros!$B$3,
           IF(OR(ISBLANK(D404),ISBLANK(F404)),"",
              IF(B404="ALI",IF(L404="L",7,IF(L404="A",10,15)),
                 IF(B404="AIE",IF(L404="L",5,IF(L404="A",7,10)),
                    IF(B404="SE",IF(L404="L",4,IF(L404="A",5,7)),
                       IF(OR(B404="EE",B404="CE"),IF(L404="L",3,IF(L404="A",4,6)),""))))))))),
   IF('Dados da OS'!$D$8=Parâmetros!$B$5,
      IF(OR(AND(B404="INM",N404&lt;&gt;"VF"),AND(N404="VF",B404&lt;&gt;"INM")),"",
         IF(B404="INM",IF(N404="VF",M404*H404,""),
            IF(B404="PE",4.6,
            IF(B404="AL",7,"")))),
   IF('Dados da OS'!$D$8=Parâmetros!$B$6,
      IF(B404="ALI",35,IF(B404="AIE",15,"")),""))
    )
)</f>
        <v/>
      </c>
      <c r="Q404" s="60" t="str">
        <f t="shared" si="43"/>
        <v/>
      </c>
      <c r="R404" s="61"/>
      <c r="S404" s="62"/>
      <c r="T404" s="80" t="s">
        <v>21</v>
      </c>
      <c r="U404" s="81"/>
      <c r="V404" s="99"/>
      <c r="W404" s="55"/>
      <c r="X404" s="55"/>
      <c r="Y404" s="56"/>
      <c r="Z404" s="55"/>
      <c r="AA404" s="56"/>
      <c r="AB404" s="55"/>
      <c r="AC404" s="57" t="str">
        <f t="shared" si="44"/>
        <v/>
      </c>
      <c r="AD404" s="57" t="str">
        <f t="shared" si="45"/>
        <v/>
      </c>
      <c r="AE404" s="57" t="str">
        <f xml:space="preserve">
IF(OR('Dados da OS'!$D$8=Parâmetros!$B$3,'Dados da OS'!$D$8=Parâmetros!$B$4),
  IF(OR(ISBLANK(X404),ISBLANK(Z404)),
     IF(OR(V404="ALI",V404="AIE"),"L",IF(ISBLANK(V404),"","A")),
     IF(V404="EE",IF(Z404&gt;=3,IF(X404&gt;=5,"H","A"),
     IF(Z404&gt;=2,IF(X404&gt;=16,"H",IF(X404&lt;=4,"L","A")),IF(X404&lt;=15,"L","A"))),
     IF(OR(V404="SE",V404="CE"),IF(Z404&gt;=4,IF(X404&gt;=6,"H","A"),IF(Z404&gt;=2,IF(X404&gt;=20,"H",IF(X404&lt;=5,"L","A")),IF(X404&lt;=19,"L","A"))),
     IF(OR(V404="ALI",V404="AIE"),IF(Z404&gt;=6,IF(X404&gt;=20,"H","A"),IF(Z404&gt;=2,IF(X404&gt;=51,"H",IF(X404&lt;=19,"L","A")),IF(X404&lt;=50,"L","A"))))))),
IF('Dados da OS'!$D$8=Parâmetros!$B$6,"Indicativa",
IF('Dados da OS'!$D$8=Parâmetros!$B$5,"PFS","")))</f>
        <v/>
      </c>
      <c r="AF404" s="57">
        <f>IFERROR(VLOOKUP(W404,'Fatores de Impacto e INMs'!$A$3:$D$32,3,0),1)</f>
        <v>1</v>
      </c>
      <c r="AG404" s="57">
        <f>IFERROR(VLOOKUP(W404,'Fatores de Impacto e INMs'!$A$3:$E$32,5,0),1)</f>
        <v>1</v>
      </c>
      <c r="AH404" s="82" t="str">
        <f xml:space="preserve">
IF(OR('Dados da OS'!$D$8="Selecione o tipo da contagem",ISBLANK('Dados da OS'!$D$8),V404="INM",V404="N/A",ISBLANK(V404),ISBLANK(W404),AG404="VF"),"-",
   IF('Dados da OS'!$D$8=Parâmetros!$B$3,
      IF(OR(ISBLANK(X404),ISBLANK(Z404)),"-",
         IF(AE404="L","Baixa",IF(AE404="A","Média",IF(AE404="H","Alta","-")))),
      IF('Dados da OS'!$D$8=Parâmetros!$B$4,
         IF(OR(V404="ALI",V404="AIE"),"Baixa",IF(OR(V404="EE",V404="SE",V404="CE"),"Média","-")),
         IF(OR('Dados da OS'!$D$8=Parâmetros!$B$5,'Dados da OS'!$D$8=Parâmetros!$B$6),"-"))))</f>
        <v>-</v>
      </c>
      <c r="AI404" s="83" t="str">
        <f xml:space="preserve">
IF(OR(ISBLANK(V404),ISBLANK(U404),ISBLANK(W404),V404="N/A",ISBLANK('Dados da OS'!$D$8)),"",
   IF(OR('Dados da OS'!$D$8=Parâmetros!$B$3,'Dados da OS'!$D$8=Parâmetros!$B$4),
      IF(OR(AND(V404="INM",AG404&lt;&gt;"VF"),AND(AG404="VF",V404&lt;&gt;"INM")),"",
        IF(AND(V404="INM",AG404="VF"),IF(ISBLANK(AB404),"",AF404*AB404),
        IF('Dados da OS'!$D$8=Parâmetros!$B$4,
           IF(OR(V404="CE",V404="EE"),4,IF(V404="SE",5,IF(V404="ALI",7,IF(V404="AIE",5,"")))),
        IF('Dados da OS'!$D$8=Parâmetros!$B$3,
           IF(OR(ISBLANK(X404),ISBLANK(Z404)),"",
              IF(V404="ALI",IF(AE404="L",7,IF(AE404="A",10,15)),
                 IF(V404="AIE",IF(AE404="L",5,IF(AE404="A",7,10)),
                    IF(V404="SE",IF(AE404="L",4,IF(AE404="A",5,7)),
                       IF(OR(V404="EE",V404="CE"),IF(AE404="L",3,IF(AE404="A",4,6)),""))))))))),
   IF('Dados da OS'!$D$8=Parâmetros!$B$5,
      IF(OR(AND(V404="INM",AG404&lt;&gt;"VF"),AND(AG404="VF",V404&lt;&gt;"INM")),"",
         IF(V404="INM",IF(AG404="VF",AF404*AB404,""),
            IF(V404="PE",4.6,
            IF(V404="AL",7,"")))),
   IF('Dados da OS'!$D$8=Parâmetros!$B$6,
      IF(V404="ALI",35,IF(V404="AIE",15,"")),""))
    )
)</f>
        <v/>
      </c>
      <c r="AJ404" s="82" t="str">
        <f t="shared" si="46"/>
        <v/>
      </c>
      <c r="AK404" s="84"/>
      <c r="AL404" s="85" t="s">
        <v>21</v>
      </c>
      <c r="AM404" s="86"/>
      <c r="AN404" s="85"/>
      <c r="AO404" s="87"/>
      <c r="AP404" s="85"/>
      <c r="AQ404" s="86"/>
      <c r="AR404" s="85"/>
    </row>
    <row r="405" spans="1:44" ht="15.75" customHeight="1">
      <c r="A405" s="54"/>
      <c r="B405" s="100"/>
      <c r="C405" s="55"/>
      <c r="D405" s="55"/>
      <c r="E405" s="56"/>
      <c r="F405" s="55"/>
      <c r="G405" s="56"/>
      <c r="H405" s="55"/>
      <c r="I405" s="64"/>
      <c r="J405" s="57" t="str">
        <f t="shared" si="41"/>
        <v/>
      </c>
      <c r="K405" s="57" t="str">
        <f t="shared" si="42"/>
        <v/>
      </c>
      <c r="L405" s="57" t="str">
        <f xml:space="preserve">
IF(OR('Dados da OS'!$D$8=Parâmetros!$B$3,'Dados da OS'!$D$8=Parâmetros!$B$4),
  IF(OR(ISBLANK(D405),ISBLANK(F405)),
     IF(OR(B405="ALI",B405="AIE"),"L",IF(ISBLANK(B405),"","A")),
     IF(B405="EE",IF(F405&gt;=3,IF(D405&gt;=5,"H","A"),
     IF(F405&gt;=2,IF(D405&gt;=16,"H",IF(D405&lt;=4,"L","A")),IF(D405&lt;=15,"L","A"))),
     IF(OR(B405="SE",B405="CE"),IF(F405&gt;=4,IF(D405&gt;=6,"H","A"),IF(F405&gt;=2,IF(D405&gt;=20,"H",IF(D405&lt;=5,"L","A")),IF(D405&lt;=19,"L","A"))),
     IF(OR(B405="ALI",B405="AIE"),IF(F405&gt;=6,IF(D405&gt;=20,"H","A"),IF(F405&gt;=2,IF(D405&gt;=51,"H",IF(D405&lt;=19,"L","A")),IF(D405&lt;=50,"L","A"))))))),
IF('Dados da OS'!$D$8=Parâmetros!$B$6,"Indicativa",
IF('Dados da OS'!$D$8=Parâmetros!$B$5,"PFS","")))</f>
        <v/>
      </c>
      <c r="M405" s="57">
        <f>IFERROR(VLOOKUP(C405,'Fatores de Impacto e INMs'!$A$3:$D$32,3,0),1)</f>
        <v>1</v>
      </c>
      <c r="N405" s="57">
        <f>IFERROR(VLOOKUP(C405,'Fatores de Impacto e INMs'!$A$3:$E$32,5,0),1)</f>
        <v>1</v>
      </c>
      <c r="O405" s="63" t="str">
        <f xml:space="preserve">
IF(OR('Dados da OS'!$D$8="Selecione o tipo da contagem",ISBLANK('Dados da OS'!$D$8),B405="INM",B405="N/A",ISBLANK(B405),ISBLANK(C405),N405="VF"),"-",
   IF('Dados da OS'!$D$8=Parâmetros!$B$3,
      IF(OR(ISBLANK(D405),ISBLANK(F405)),"-",
         IF(L405="L","Baixa",IF(L405="A","Média",IF(L405="H","Alta","-")))),
      IF('Dados da OS'!$D$8=Parâmetros!$B$4,
         IF(OR(B405="ALI",B405="AIE"),"Baixa",IF(OR(B405="EE",B405="SE",B405="CE"),"Média","-")),
         IF(OR('Dados da OS'!$D$8=Parâmetros!$B$5,'Dados da OS'!$D$8=Parâmetros!$B$6),"-"))))</f>
        <v>-</v>
      </c>
      <c r="P405" s="59" t="str">
        <f xml:space="preserve">
IF(OR(ISBLANK(B405),ISBLANK(C405),B405="N/A",ISBLANK('Dados da OS'!$D$8)),"",
   IF(OR('Dados da OS'!$D$8=Parâmetros!$B$3,'Dados da OS'!$D$8=Parâmetros!$B$4),
      IF(OR(AND(B405="INM",N405&lt;&gt;"VF"),AND(N405="VF",B405&lt;&gt;"INM")),"",
        IF(AND(B405="INM",N405="VF"),IF(ISBLANK(H405),"",M405*H405),
        IF('Dados da OS'!$D$8=Parâmetros!$B$4,
           IF(OR(B405="CE",B405="EE"),4,IF(B405="SE",5,IF(B405="ALI",7,IF(B405="AIE",5,"")))),
        IF('Dados da OS'!$D$8=Parâmetros!$B$3,
           IF(OR(ISBLANK(D405),ISBLANK(F405)),"",
              IF(B405="ALI",IF(L405="L",7,IF(L405="A",10,15)),
                 IF(B405="AIE",IF(L405="L",5,IF(L405="A",7,10)),
                    IF(B405="SE",IF(L405="L",4,IF(L405="A",5,7)),
                       IF(OR(B405="EE",B405="CE"),IF(L405="L",3,IF(L405="A",4,6)),""))))))))),
   IF('Dados da OS'!$D$8=Parâmetros!$B$5,
      IF(OR(AND(B405="INM",N405&lt;&gt;"VF"),AND(N405="VF",B405&lt;&gt;"INM")),"",
         IF(B405="INM",IF(N405="VF",M405*H405,""),
            IF(B405="PE",4.6,
            IF(B405="AL",7,"")))),
   IF('Dados da OS'!$D$8=Parâmetros!$B$6,
      IF(B405="ALI",35,IF(B405="AIE",15,"")),""))
    )
)</f>
        <v/>
      </c>
      <c r="Q405" s="60" t="str">
        <f t="shared" si="43"/>
        <v/>
      </c>
      <c r="R405" s="61"/>
      <c r="S405" s="62"/>
      <c r="T405" s="80" t="s">
        <v>21</v>
      </c>
      <c r="U405" s="81"/>
      <c r="V405" s="99"/>
      <c r="W405" s="55"/>
      <c r="X405" s="55"/>
      <c r="Y405" s="56"/>
      <c r="Z405" s="55"/>
      <c r="AA405" s="56"/>
      <c r="AB405" s="55"/>
      <c r="AC405" s="57" t="str">
        <f t="shared" si="44"/>
        <v/>
      </c>
      <c r="AD405" s="57" t="str">
        <f t="shared" si="45"/>
        <v/>
      </c>
      <c r="AE405" s="57" t="str">
        <f xml:space="preserve">
IF(OR('Dados da OS'!$D$8=Parâmetros!$B$3,'Dados da OS'!$D$8=Parâmetros!$B$4),
  IF(OR(ISBLANK(X405),ISBLANK(Z405)),
     IF(OR(V405="ALI",V405="AIE"),"L",IF(ISBLANK(V405),"","A")),
     IF(V405="EE",IF(Z405&gt;=3,IF(X405&gt;=5,"H","A"),
     IF(Z405&gt;=2,IF(X405&gt;=16,"H",IF(X405&lt;=4,"L","A")),IF(X405&lt;=15,"L","A"))),
     IF(OR(V405="SE",V405="CE"),IF(Z405&gt;=4,IF(X405&gt;=6,"H","A"),IF(Z405&gt;=2,IF(X405&gt;=20,"H",IF(X405&lt;=5,"L","A")),IF(X405&lt;=19,"L","A"))),
     IF(OR(V405="ALI",V405="AIE"),IF(Z405&gt;=6,IF(X405&gt;=20,"H","A"),IF(Z405&gt;=2,IF(X405&gt;=51,"H",IF(X405&lt;=19,"L","A")),IF(X405&lt;=50,"L","A"))))))),
IF('Dados da OS'!$D$8=Parâmetros!$B$6,"Indicativa",
IF('Dados da OS'!$D$8=Parâmetros!$B$5,"PFS","")))</f>
        <v/>
      </c>
      <c r="AF405" s="57">
        <f>IFERROR(VLOOKUP(W405,'Fatores de Impacto e INMs'!$A$3:$D$32,3,0),1)</f>
        <v>1</v>
      </c>
      <c r="AG405" s="57">
        <f>IFERROR(VLOOKUP(W405,'Fatores de Impacto e INMs'!$A$3:$E$32,5,0),1)</f>
        <v>1</v>
      </c>
      <c r="AH405" s="82" t="str">
        <f xml:space="preserve">
IF(OR('Dados da OS'!$D$8="Selecione o tipo da contagem",ISBLANK('Dados da OS'!$D$8),V405="INM",V405="N/A",ISBLANK(V405),ISBLANK(W405),AG405="VF"),"-",
   IF('Dados da OS'!$D$8=Parâmetros!$B$3,
      IF(OR(ISBLANK(X405),ISBLANK(Z405)),"-",
         IF(AE405="L","Baixa",IF(AE405="A","Média",IF(AE405="H","Alta","-")))),
      IF('Dados da OS'!$D$8=Parâmetros!$B$4,
         IF(OR(V405="ALI",V405="AIE"),"Baixa",IF(OR(V405="EE",V405="SE",V405="CE"),"Média","-")),
         IF(OR('Dados da OS'!$D$8=Parâmetros!$B$5,'Dados da OS'!$D$8=Parâmetros!$B$6),"-"))))</f>
        <v>-</v>
      </c>
      <c r="AI405" s="83" t="str">
        <f xml:space="preserve">
IF(OR(ISBLANK(V405),ISBLANK(U405),ISBLANK(W405),V405="N/A",ISBLANK('Dados da OS'!$D$8)),"",
   IF(OR('Dados da OS'!$D$8=Parâmetros!$B$3,'Dados da OS'!$D$8=Parâmetros!$B$4),
      IF(OR(AND(V405="INM",AG405&lt;&gt;"VF"),AND(AG405="VF",V405&lt;&gt;"INM")),"",
        IF(AND(V405="INM",AG405="VF"),IF(ISBLANK(AB405),"",AF405*AB405),
        IF('Dados da OS'!$D$8=Parâmetros!$B$4,
           IF(OR(V405="CE",V405="EE"),4,IF(V405="SE",5,IF(V405="ALI",7,IF(V405="AIE",5,"")))),
        IF('Dados da OS'!$D$8=Parâmetros!$B$3,
           IF(OR(ISBLANK(X405),ISBLANK(Z405)),"",
              IF(V405="ALI",IF(AE405="L",7,IF(AE405="A",10,15)),
                 IF(V405="AIE",IF(AE405="L",5,IF(AE405="A",7,10)),
                    IF(V405="SE",IF(AE405="L",4,IF(AE405="A",5,7)),
                       IF(OR(V405="EE",V405="CE"),IF(AE405="L",3,IF(AE405="A",4,6)),""))))))))),
   IF('Dados da OS'!$D$8=Parâmetros!$B$5,
      IF(OR(AND(V405="INM",AG405&lt;&gt;"VF"),AND(AG405="VF",V405&lt;&gt;"INM")),"",
         IF(V405="INM",IF(AG405="VF",AF405*AB405,""),
            IF(V405="PE",4.6,
            IF(V405="AL",7,"")))),
   IF('Dados da OS'!$D$8=Parâmetros!$B$6,
      IF(V405="ALI",35,IF(V405="AIE",15,"")),""))
    )
)</f>
        <v/>
      </c>
      <c r="AJ405" s="82" t="str">
        <f t="shared" si="46"/>
        <v/>
      </c>
      <c r="AK405" s="84"/>
      <c r="AL405" s="85" t="s">
        <v>21</v>
      </c>
      <c r="AM405" s="86"/>
      <c r="AN405" s="85"/>
      <c r="AO405" s="87"/>
      <c r="AP405" s="85"/>
      <c r="AQ405" s="86"/>
      <c r="AR405" s="85"/>
    </row>
    <row r="406" spans="1:44" ht="15.75" customHeight="1">
      <c r="A406" s="54"/>
      <c r="B406" s="100"/>
      <c r="C406" s="55"/>
      <c r="D406" s="55"/>
      <c r="E406" s="56"/>
      <c r="F406" s="55"/>
      <c r="G406" s="56"/>
      <c r="H406" s="55"/>
      <c r="I406" s="64"/>
      <c r="J406" s="57" t="str">
        <f t="shared" si="41"/>
        <v/>
      </c>
      <c r="K406" s="57" t="str">
        <f t="shared" si="42"/>
        <v/>
      </c>
      <c r="L406" s="57" t="str">
        <f xml:space="preserve">
IF(OR('Dados da OS'!$D$8=Parâmetros!$B$3,'Dados da OS'!$D$8=Parâmetros!$B$4),
  IF(OR(ISBLANK(D406),ISBLANK(F406)),
     IF(OR(B406="ALI",B406="AIE"),"L",IF(ISBLANK(B406),"","A")),
     IF(B406="EE",IF(F406&gt;=3,IF(D406&gt;=5,"H","A"),
     IF(F406&gt;=2,IF(D406&gt;=16,"H",IF(D406&lt;=4,"L","A")),IF(D406&lt;=15,"L","A"))),
     IF(OR(B406="SE",B406="CE"),IF(F406&gt;=4,IF(D406&gt;=6,"H","A"),IF(F406&gt;=2,IF(D406&gt;=20,"H",IF(D406&lt;=5,"L","A")),IF(D406&lt;=19,"L","A"))),
     IF(OR(B406="ALI",B406="AIE"),IF(F406&gt;=6,IF(D406&gt;=20,"H","A"),IF(F406&gt;=2,IF(D406&gt;=51,"H",IF(D406&lt;=19,"L","A")),IF(D406&lt;=50,"L","A"))))))),
IF('Dados da OS'!$D$8=Parâmetros!$B$6,"Indicativa",
IF('Dados da OS'!$D$8=Parâmetros!$B$5,"PFS","")))</f>
        <v/>
      </c>
      <c r="M406" s="57">
        <f>IFERROR(VLOOKUP(C406,'Fatores de Impacto e INMs'!$A$3:$D$32,3,0),1)</f>
        <v>1</v>
      </c>
      <c r="N406" s="57">
        <f>IFERROR(VLOOKUP(C406,'Fatores de Impacto e INMs'!$A$3:$E$32,5,0),1)</f>
        <v>1</v>
      </c>
      <c r="O406" s="63" t="str">
        <f xml:space="preserve">
IF(OR('Dados da OS'!$D$8="Selecione o tipo da contagem",ISBLANK('Dados da OS'!$D$8),B406="INM",B406="N/A",ISBLANK(B406),ISBLANK(C406),N406="VF"),"-",
   IF('Dados da OS'!$D$8=Parâmetros!$B$3,
      IF(OR(ISBLANK(D406),ISBLANK(F406)),"-",
         IF(L406="L","Baixa",IF(L406="A","Média",IF(L406="H","Alta","-")))),
      IF('Dados da OS'!$D$8=Parâmetros!$B$4,
         IF(OR(B406="ALI",B406="AIE"),"Baixa",IF(OR(B406="EE",B406="SE",B406="CE"),"Média","-")),
         IF(OR('Dados da OS'!$D$8=Parâmetros!$B$5,'Dados da OS'!$D$8=Parâmetros!$B$6),"-"))))</f>
        <v>-</v>
      </c>
      <c r="P406" s="59" t="str">
        <f xml:space="preserve">
IF(OR(ISBLANK(B406),ISBLANK(C406),B406="N/A",ISBLANK('Dados da OS'!$D$8)),"",
   IF(OR('Dados da OS'!$D$8=Parâmetros!$B$3,'Dados da OS'!$D$8=Parâmetros!$B$4),
      IF(OR(AND(B406="INM",N406&lt;&gt;"VF"),AND(N406="VF",B406&lt;&gt;"INM")),"",
        IF(AND(B406="INM",N406="VF"),IF(ISBLANK(H406),"",M406*H406),
        IF('Dados da OS'!$D$8=Parâmetros!$B$4,
           IF(OR(B406="CE",B406="EE"),4,IF(B406="SE",5,IF(B406="ALI",7,IF(B406="AIE",5,"")))),
        IF('Dados da OS'!$D$8=Parâmetros!$B$3,
           IF(OR(ISBLANK(D406),ISBLANK(F406)),"",
              IF(B406="ALI",IF(L406="L",7,IF(L406="A",10,15)),
                 IF(B406="AIE",IF(L406="L",5,IF(L406="A",7,10)),
                    IF(B406="SE",IF(L406="L",4,IF(L406="A",5,7)),
                       IF(OR(B406="EE",B406="CE"),IF(L406="L",3,IF(L406="A",4,6)),""))))))))),
   IF('Dados da OS'!$D$8=Parâmetros!$B$5,
      IF(OR(AND(B406="INM",N406&lt;&gt;"VF"),AND(N406="VF",B406&lt;&gt;"INM")),"",
         IF(B406="INM",IF(N406="VF",M406*H406,""),
            IF(B406="PE",4.6,
            IF(B406="AL",7,"")))),
   IF('Dados da OS'!$D$8=Parâmetros!$B$6,
      IF(B406="ALI",35,IF(B406="AIE",15,"")),""))
    )
)</f>
        <v/>
      </c>
      <c r="Q406" s="60" t="str">
        <f t="shared" si="43"/>
        <v/>
      </c>
      <c r="R406" s="61"/>
      <c r="S406" s="62"/>
      <c r="T406" s="80" t="s">
        <v>21</v>
      </c>
      <c r="U406" s="81"/>
      <c r="V406" s="99"/>
      <c r="W406" s="55"/>
      <c r="X406" s="55"/>
      <c r="Y406" s="56"/>
      <c r="Z406" s="55"/>
      <c r="AA406" s="56"/>
      <c r="AB406" s="55"/>
      <c r="AC406" s="57" t="str">
        <f t="shared" si="44"/>
        <v/>
      </c>
      <c r="AD406" s="57" t="str">
        <f t="shared" si="45"/>
        <v/>
      </c>
      <c r="AE406" s="57" t="str">
        <f xml:space="preserve">
IF(OR('Dados da OS'!$D$8=Parâmetros!$B$3,'Dados da OS'!$D$8=Parâmetros!$B$4),
  IF(OR(ISBLANK(X406),ISBLANK(Z406)),
     IF(OR(V406="ALI",V406="AIE"),"L",IF(ISBLANK(V406),"","A")),
     IF(V406="EE",IF(Z406&gt;=3,IF(X406&gt;=5,"H","A"),
     IF(Z406&gt;=2,IF(X406&gt;=16,"H",IF(X406&lt;=4,"L","A")),IF(X406&lt;=15,"L","A"))),
     IF(OR(V406="SE",V406="CE"),IF(Z406&gt;=4,IF(X406&gt;=6,"H","A"),IF(Z406&gt;=2,IF(X406&gt;=20,"H",IF(X406&lt;=5,"L","A")),IF(X406&lt;=19,"L","A"))),
     IF(OR(V406="ALI",V406="AIE"),IF(Z406&gt;=6,IF(X406&gt;=20,"H","A"),IF(Z406&gt;=2,IF(X406&gt;=51,"H",IF(X406&lt;=19,"L","A")),IF(X406&lt;=50,"L","A"))))))),
IF('Dados da OS'!$D$8=Parâmetros!$B$6,"Indicativa",
IF('Dados da OS'!$D$8=Parâmetros!$B$5,"PFS","")))</f>
        <v/>
      </c>
      <c r="AF406" s="57">
        <f>IFERROR(VLOOKUP(W406,'Fatores de Impacto e INMs'!$A$3:$D$32,3,0),1)</f>
        <v>1</v>
      </c>
      <c r="AG406" s="57">
        <f>IFERROR(VLOOKUP(W406,'Fatores de Impacto e INMs'!$A$3:$E$32,5,0),1)</f>
        <v>1</v>
      </c>
      <c r="AH406" s="82" t="str">
        <f xml:space="preserve">
IF(OR('Dados da OS'!$D$8="Selecione o tipo da contagem",ISBLANK('Dados da OS'!$D$8),V406="INM",V406="N/A",ISBLANK(V406),ISBLANK(W406),AG406="VF"),"-",
   IF('Dados da OS'!$D$8=Parâmetros!$B$3,
      IF(OR(ISBLANK(X406),ISBLANK(Z406)),"-",
         IF(AE406="L","Baixa",IF(AE406="A","Média",IF(AE406="H","Alta","-")))),
      IF('Dados da OS'!$D$8=Parâmetros!$B$4,
         IF(OR(V406="ALI",V406="AIE"),"Baixa",IF(OR(V406="EE",V406="SE",V406="CE"),"Média","-")),
         IF(OR('Dados da OS'!$D$8=Parâmetros!$B$5,'Dados da OS'!$D$8=Parâmetros!$B$6),"-"))))</f>
        <v>-</v>
      </c>
      <c r="AI406" s="83" t="str">
        <f xml:space="preserve">
IF(OR(ISBLANK(V406),ISBLANK(U406),ISBLANK(W406),V406="N/A",ISBLANK('Dados da OS'!$D$8)),"",
   IF(OR('Dados da OS'!$D$8=Parâmetros!$B$3,'Dados da OS'!$D$8=Parâmetros!$B$4),
      IF(OR(AND(V406="INM",AG406&lt;&gt;"VF"),AND(AG406="VF",V406&lt;&gt;"INM")),"",
        IF(AND(V406="INM",AG406="VF"),IF(ISBLANK(AB406),"",AF406*AB406),
        IF('Dados da OS'!$D$8=Parâmetros!$B$4,
           IF(OR(V406="CE",V406="EE"),4,IF(V406="SE",5,IF(V406="ALI",7,IF(V406="AIE",5,"")))),
        IF('Dados da OS'!$D$8=Parâmetros!$B$3,
           IF(OR(ISBLANK(X406),ISBLANK(Z406)),"",
              IF(V406="ALI",IF(AE406="L",7,IF(AE406="A",10,15)),
                 IF(V406="AIE",IF(AE406="L",5,IF(AE406="A",7,10)),
                    IF(V406="SE",IF(AE406="L",4,IF(AE406="A",5,7)),
                       IF(OR(V406="EE",V406="CE"),IF(AE406="L",3,IF(AE406="A",4,6)),""))))))))),
   IF('Dados da OS'!$D$8=Parâmetros!$B$5,
      IF(OR(AND(V406="INM",AG406&lt;&gt;"VF"),AND(AG406="VF",V406&lt;&gt;"INM")),"",
         IF(V406="INM",IF(AG406="VF",AF406*AB406,""),
            IF(V406="PE",4.6,
            IF(V406="AL",7,"")))),
   IF('Dados da OS'!$D$8=Parâmetros!$B$6,
      IF(V406="ALI",35,IF(V406="AIE",15,"")),""))
    )
)</f>
        <v/>
      </c>
      <c r="AJ406" s="82" t="str">
        <f t="shared" si="46"/>
        <v/>
      </c>
      <c r="AK406" s="84"/>
      <c r="AL406" s="85" t="s">
        <v>21</v>
      </c>
      <c r="AM406" s="86"/>
      <c r="AN406" s="85"/>
      <c r="AO406" s="87"/>
      <c r="AP406" s="85"/>
      <c r="AQ406" s="86"/>
      <c r="AR406" s="85"/>
    </row>
    <row r="407" spans="1:44" ht="15.75" customHeight="1">
      <c r="A407" s="54"/>
      <c r="B407" s="100"/>
      <c r="C407" s="55"/>
      <c r="D407" s="55"/>
      <c r="E407" s="56"/>
      <c r="F407" s="55"/>
      <c r="G407" s="56"/>
      <c r="H407" s="55"/>
      <c r="I407" s="64"/>
      <c r="J407" s="57" t="str">
        <f t="shared" si="41"/>
        <v/>
      </c>
      <c r="K407" s="57" t="str">
        <f t="shared" si="42"/>
        <v/>
      </c>
      <c r="L407" s="57" t="str">
        <f xml:space="preserve">
IF(OR('Dados da OS'!$D$8=Parâmetros!$B$3,'Dados da OS'!$D$8=Parâmetros!$B$4),
  IF(OR(ISBLANK(D407),ISBLANK(F407)),
     IF(OR(B407="ALI",B407="AIE"),"L",IF(ISBLANK(B407),"","A")),
     IF(B407="EE",IF(F407&gt;=3,IF(D407&gt;=5,"H","A"),
     IF(F407&gt;=2,IF(D407&gt;=16,"H",IF(D407&lt;=4,"L","A")),IF(D407&lt;=15,"L","A"))),
     IF(OR(B407="SE",B407="CE"),IF(F407&gt;=4,IF(D407&gt;=6,"H","A"),IF(F407&gt;=2,IF(D407&gt;=20,"H",IF(D407&lt;=5,"L","A")),IF(D407&lt;=19,"L","A"))),
     IF(OR(B407="ALI",B407="AIE"),IF(F407&gt;=6,IF(D407&gt;=20,"H","A"),IF(F407&gt;=2,IF(D407&gt;=51,"H",IF(D407&lt;=19,"L","A")),IF(D407&lt;=50,"L","A"))))))),
IF('Dados da OS'!$D$8=Parâmetros!$B$6,"Indicativa",
IF('Dados da OS'!$D$8=Parâmetros!$B$5,"PFS","")))</f>
        <v/>
      </c>
      <c r="M407" s="57">
        <f>IFERROR(VLOOKUP(C407,'Fatores de Impacto e INMs'!$A$3:$D$32,3,0),1)</f>
        <v>1</v>
      </c>
      <c r="N407" s="57">
        <f>IFERROR(VLOOKUP(C407,'Fatores de Impacto e INMs'!$A$3:$E$32,5,0),1)</f>
        <v>1</v>
      </c>
      <c r="O407" s="63" t="str">
        <f xml:space="preserve">
IF(OR('Dados da OS'!$D$8="Selecione o tipo da contagem",ISBLANK('Dados da OS'!$D$8),B407="INM",B407="N/A",ISBLANK(B407),ISBLANK(C407),N407="VF"),"-",
   IF('Dados da OS'!$D$8=Parâmetros!$B$3,
      IF(OR(ISBLANK(D407),ISBLANK(F407)),"-",
         IF(L407="L","Baixa",IF(L407="A","Média",IF(L407="H","Alta","-")))),
      IF('Dados da OS'!$D$8=Parâmetros!$B$4,
         IF(OR(B407="ALI",B407="AIE"),"Baixa",IF(OR(B407="EE",B407="SE",B407="CE"),"Média","-")),
         IF(OR('Dados da OS'!$D$8=Parâmetros!$B$5,'Dados da OS'!$D$8=Parâmetros!$B$6),"-"))))</f>
        <v>-</v>
      </c>
      <c r="P407" s="59" t="str">
        <f xml:space="preserve">
IF(OR(ISBLANK(B407),ISBLANK(C407),B407="N/A",ISBLANK('Dados da OS'!$D$8)),"",
   IF(OR('Dados da OS'!$D$8=Parâmetros!$B$3,'Dados da OS'!$D$8=Parâmetros!$B$4),
      IF(OR(AND(B407="INM",N407&lt;&gt;"VF"),AND(N407="VF",B407&lt;&gt;"INM")),"",
        IF(AND(B407="INM",N407="VF"),IF(ISBLANK(H407),"",M407*H407),
        IF('Dados da OS'!$D$8=Parâmetros!$B$4,
           IF(OR(B407="CE",B407="EE"),4,IF(B407="SE",5,IF(B407="ALI",7,IF(B407="AIE",5,"")))),
        IF('Dados da OS'!$D$8=Parâmetros!$B$3,
           IF(OR(ISBLANK(D407),ISBLANK(F407)),"",
              IF(B407="ALI",IF(L407="L",7,IF(L407="A",10,15)),
                 IF(B407="AIE",IF(L407="L",5,IF(L407="A",7,10)),
                    IF(B407="SE",IF(L407="L",4,IF(L407="A",5,7)),
                       IF(OR(B407="EE",B407="CE"),IF(L407="L",3,IF(L407="A",4,6)),""))))))))),
   IF('Dados da OS'!$D$8=Parâmetros!$B$5,
      IF(OR(AND(B407="INM",N407&lt;&gt;"VF"),AND(N407="VF",B407&lt;&gt;"INM")),"",
         IF(B407="INM",IF(N407="VF",M407*H407,""),
            IF(B407="PE",4.6,
            IF(B407="AL",7,"")))),
   IF('Dados da OS'!$D$8=Parâmetros!$B$6,
      IF(B407="ALI",35,IF(B407="AIE",15,"")),""))
    )
)</f>
        <v/>
      </c>
      <c r="Q407" s="60" t="str">
        <f t="shared" si="43"/>
        <v/>
      </c>
      <c r="R407" s="61"/>
      <c r="S407" s="62"/>
      <c r="T407" s="80" t="s">
        <v>21</v>
      </c>
      <c r="U407" s="81"/>
      <c r="V407" s="99"/>
      <c r="W407" s="55"/>
      <c r="X407" s="55"/>
      <c r="Y407" s="56"/>
      <c r="Z407" s="55"/>
      <c r="AA407" s="56"/>
      <c r="AB407" s="55"/>
      <c r="AC407" s="57" t="str">
        <f t="shared" si="44"/>
        <v/>
      </c>
      <c r="AD407" s="57" t="str">
        <f t="shared" si="45"/>
        <v/>
      </c>
      <c r="AE407" s="57" t="str">
        <f xml:space="preserve">
IF(OR('Dados da OS'!$D$8=Parâmetros!$B$3,'Dados da OS'!$D$8=Parâmetros!$B$4),
  IF(OR(ISBLANK(X407),ISBLANK(Z407)),
     IF(OR(V407="ALI",V407="AIE"),"L",IF(ISBLANK(V407),"","A")),
     IF(V407="EE",IF(Z407&gt;=3,IF(X407&gt;=5,"H","A"),
     IF(Z407&gt;=2,IF(X407&gt;=16,"H",IF(X407&lt;=4,"L","A")),IF(X407&lt;=15,"L","A"))),
     IF(OR(V407="SE",V407="CE"),IF(Z407&gt;=4,IF(X407&gt;=6,"H","A"),IF(Z407&gt;=2,IF(X407&gt;=20,"H",IF(X407&lt;=5,"L","A")),IF(X407&lt;=19,"L","A"))),
     IF(OR(V407="ALI",V407="AIE"),IF(Z407&gt;=6,IF(X407&gt;=20,"H","A"),IF(Z407&gt;=2,IF(X407&gt;=51,"H",IF(X407&lt;=19,"L","A")),IF(X407&lt;=50,"L","A"))))))),
IF('Dados da OS'!$D$8=Parâmetros!$B$6,"Indicativa",
IF('Dados da OS'!$D$8=Parâmetros!$B$5,"PFS","")))</f>
        <v/>
      </c>
      <c r="AF407" s="57">
        <f>IFERROR(VLOOKUP(W407,'Fatores de Impacto e INMs'!$A$3:$D$32,3,0),1)</f>
        <v>1</v>
      </c>
      <c r="AG407" s="57">
        <f>IFERROR(VLOOKUP(W407,'Fatores de Impacto e INMs'!$A$3:$E$32,5,0),1)</f>
        <v>1</v>
      </c>
      <c r="AH407" s="82" t="str">
        <f xml:space="preserve">
IF(OR('Dados da OS'!$D$8="Selecione o tipo da contagem",ISBLANK('Dados da OS'!$D$8),V407="INM",V407="N/A",ISBLANK(V407),ISBLANK(W407),AG407="VF"),"-",
   IF('Dados da OS'!$D$8=Parâmetros!$B$3,
      IF(OR(ISBLANK(X407),ISBLANK(Z407)),"-",
         IF(AE407="L","Baixa",IF(AE407="A","Média",IF(AE407="H","Alta","-")))),
      IF('Dados da OS'!$D$8=Parâmetros!$B$4,
         IF(OR(V407="ALI",V407="AIE"),"Baixa",IF(OR(V407="EE",V407="SE",V407="CE"),"Média","-")),
         IF(OR('Dados da OS'!$D$8=Parâmetros!$B$5,'Dados da OS'!$D$8=Parâmetros!$B$6),"-"))))</f>
        <v>-</v>
      </c>
      <c r="AI407" s="83" t="str">
        <f xml:space="preserve">
IF(OR(ISBLANK(V407),ISBLANK(U407),ISBLANK(W407),V407="N/A",ISBLANK('Dados da OS'!$D$8)),"",
   IF(OR('Dados da OS'!$D$8=Parâmetros!$B$3,'Dados da OS'!$D$8=Parâmetros!$B$4),
      IF(OR(AND(V407="INM",AG407&lt;&gt;"VF"),AND(AG407="VF",V407&lt;&gt;"INM")),"",
        IF(AND(V407="INM",AG407="VF"),IF(ISBLANK(AB407),"",AF407*AB407),
        IF('Dados da OS'!$D$8=Parâmetros!$B$4,
           IF(OR(V407="CE",V407="EE"),4,IF(V407="SE",5,IF(V407="ALI",7,IF(V407="AIE",5,"")))),
        IF('Dados da OS'!$D$8=Parâmetros!$B$3,
           IF(OR(ISBLANK(X407),ISBLANK(Z407)),"",
              IF(V407="ALI",IF(AE407="L",7,IF(AE407="A",10,15)),
                 IF(V407="AIE",IF(AE407="L",5,IF(AE407="A",7,10)),
                    IF(V407="SE",IF(AE407="L",4,IF(AE407="A",5,7)),
                       IF(OR(V407="EE",V407="CE"),IF(AE407="L",3,IF(AE407="A",4,6)),""))))))))),
   IF('Dados da OS'!$D$8=Parâmetros!$B$5,
      IF(OR(AND(V407="INM",AG407&lt;&gt;"VF"),AND(AG407="VF",V407&lt;&gt;"INM")),"",
         IF(V407="INM",IF(AG407="VF",AF407*AB407,""),
            IF(V407="PE",4.6,
            IF(V407="AL",7,"")))),
   IF('Dados da OS'!$D$8=Parâmetros!$B$6,
      IF(V407="ALI",35,IF(V407="AIE",15,"")),""))
    )
)</f>
        <v/>
      </c>
      <c r="AJ407" s="82" t="str">
        <f t="shared" si="46"/>
        <v/>
      </c>
      <c r="AK407" s="84"/>
      <c r="AL407" s="85" t="s">
        <v>21</v>
      </c>
      <c r="AM407" s="86"/>
      <c r="AN407" s="85"/>
      <c r="AO407" s="87"/>
      <c r="AP407" s="85"/>
      <c r="AQ407" s="86"/>
      <c r="AR407" s="85"/>
    </row>
    <row r="408" spans="1:44" ht="15.75" customHeight="1">
      <c r="A408" s="54"/>
      <c r="B408" s="100"/>
      <c r="C408" s="55"/>
      <c r="D408" s="55"/>
      <c r="E408" s="56"/>
      <c r="F408" s="55"/>
      <c r="G408" s="56"/>
      <c r="H408" s="55"/>
      <c r="I408" s="64"/>
      <c r="J408" s="57" t="str">
        <f t="shared" si="41"/>
        <v/>
      </c>
      <c r="K408" s="57" t="str">
        <f t="shared" si="42"/>
        <v/>
      </c>
      <c r="L408" s="57" t="str">
        <f xml:space="preserve">
IF(OR('Dados da OS'!$D$8=Parâmetros!$B$3,'Dados da OS'!$D$8=Parâmetros!$B$4),
  IF(OR(ISBLANK(D408),ISBLANK(F408)),
     IF(OR(B408="ALI",B408="AIE"),"L",IF(ISBLANK(B408),"","A")),
     IF(B408="EE",IF(F408&gt;=3,IF(D408&gt;=5,"H","A"),
     IF(F408&gt;=2,IF(D408&gt;=16,"H",IF(D408&lt;=4,"L","A")),IF(D408&lt;=15,"L","A"))),
     IF(OR(B408="SE",B408="CE"),IF(F408&gt;=4,IF(D408&gt;=6,"H","A"),IF(F408&gt;=2,IF(D408&gt;=20,"H",IF(D408&lt;=5,"L","A")),IF(D408&lt;=19,"L","A"))),
     IF(OR(B408="ALI",B408="AIE"),IF(F408&gt;=6,IF(D408&gt;=20,"H","A"),IF(F408&gt;=2,IF(D408&gt;=51,"H",IF(D408&lt;=19,"L","A")),IF(D408&lt;=50,"L","A"))))))),
IF('Dados da OS'!$D$8=Parâmetros!$B$6,"Indicativa",
IF('Dados da OS'!$D$8=Parâmetros!$B$5,"PFS","")))</f>
        <v/>
      </c>
      <c r="M408" s="57">
        <f>IFERROR(VLOOKUP(C408,'Fatores de Impacto e INMs'!$A$3:$D$32,3,0),1)</f>
        <v>1</v>
      </c>
      <c r="N408" s="57">
        <f>IFERROR(VLOOKUP(C408,'Fatores de Impacto e INMs'!$A$3:$E$32,5,0),1)</f>
        <v>1</v>
      </c>
      <c r="O408" s="63" t="str">
        <f xml:space="preserve">
IF(OR('Dados da OS'!$D$8="Selecione o tipo da contagem",ISBLANK('Dados da OS'!$D$8),B408="INM",B408="N/A",ISBLANK(B408),ISBLANK(C408),N408="VF"),"-",
   IF('Dados da OS'!$D$8=Parâmetros!$B$3,
      IF(OR(ISBLANK(D408),ISBLANK(F408)),"-",
         IF(L408="L","Baixa",IF(L408="A","Média",IF(L408="H","Alta","-")))),
      IF('Dados da OS'!$D$8=Parâmetros!$B$4,
         IF(OR(B408="ALI",B408="AIE"),"Baixa",IF(OR(B408="EE",B408="SE",B408="CE"),"Média","-")),
         IF(OR('Dados da OS'!$D$8=Parâmetros!$B$5,'Dados da OS'!$D$8=Parâmetros!$B$6),"-"))))</f>
        <v>-</v>
      </c>
      <c r="P408" s="59" t="str">
        <f xml:space="preserve">
IF(OR(ISBLANK(B408),ISBLANK(C408),B408="N/A",ISBLANK('Dados da OS'!$D$8)),"",
   IF(OR('Dados da OS'!$D$8=Parâmetros!$B$3,'Dados da OS'!$D$8=Parâmetros!$B$4),
      IF(OR(AND(B408="INM",N408&lt;&gt;"VF"),AND(N408="VF",B408&lt;&gt;"INM")),"",
        IF(AND(B408="INM",N408="VF"),IF(ISBLANK(H408),"",M408*H408),
        IF('Dados da OS'!$D$8=Parâmetros!$B$4,
           IF(OR(B408="CE",B408="EE"),4,IF(B408="SE",5,IF(B408="ALI",7,IF(B408="AIE",5,"")))),
        IF('Dados da OS'!$D$8=Parâmetros!$B$3,
           IF(OR(ISBLANK(D408),ISBLANK(F408)),"",
              IF(B408="ALI",IF(L408="L",7,IF(L408="A",10,15)),
                 IF(B408="AIE",IF(L408="L",5,IF(L408="A",7,10)),
                    IF(B408="SE",IF(L408="L",4,IF(L408="A",5,7)),
                       IF(OR(B408="EE",B408="CE"),IF(L408="L",3,IF(L408="A",4,6)),""))))))))),
   IF('Dados da OS'!$D$8=Parâmetros!$B$5,
      IF(OR(AND(B408="INM",N408&lt;&gt;"VF"),AND(N408="VF",B408&lt;&gt;"INM")),"",
         IF(B408="INM",IF(N408="VF",M408*H408,""),
            IF(B408="PE",4.6,
            IF(B408="AL",7,"")))),
   IF('Dados da OS'!$D$8=Parâmetros!$B$6,
      IF(B408="ALI",35,IF(B408="AIE",15,"")),""))
    )
)</f>
        <v/>
      </c>
      <c r="Q408" s="60" t="str">
        <f t="shared" si="43"/>
        <v/>
      </c>
      <c r="R408" s="61"/>
      <c r="S408" s="62"/>
      <c r="T408" s="80" t="s">
        <v>21</v>
      </c>
      <c r="U408" s="81"/>
      <c r="V408" s="99"/>
      <c r="W408" s="55"/>
      <c r="X408" s="55"/>
      <c r="Y408" s="56"/>
      <c r="Z408" s="55"/>
      <c r="AA408" s="56"/>
      <c r="AB408" s="55"/>
      <c r="AC408" s="57" t="str">
        <f t="shared" si="44"/>
        <v/>
      </c>
      <c r="AD408" s="57" t="str">
        <f t="shared" si="45"/>
        <v/>
      </c>
      <c r="AE408" s="57" t="str">
        <f xml:space="preserve">
IF(OR('Dados da OS'!$D$8=Parâmetros!$B$3,'Dados da OS'!$D$8=Parâmetros!$B$4),
  IF(OR(ISBLANK(X408),ISBLANK(Z408)),
     IF(OR(V408="ALI",V408="AIE"),"L",IF(ISBLANK(V408),"","A")),
     IF(V408="EE",IF(Z408&gt;=3,IF(X408&gt;=5,"H","A"),
     IF(Z408&gt;=2,IF(X408&gt;=16,"H",IF(X408&lt;=4,"L","A")),IF(X408&lt;=15,"L","A"))),
     IF(OR(V408="SE",V408="CE"),IF(Z408&gt;=4,IF(X408&gt;=6,"H","A"),IF(Z408&gt;=2,IF(X408&gt;=20,"H",IF(X408&lt;=5,"L","A")),IF(X408&lt;=19,"L","A"))),
     IF(OR(V408="ALI",V408="AIE"),IF(Z408&gt;=6,IF(X408&gt;=20,"H","A"),IF(Z408&gt;=2,IF(X408&gt;=51,"H",IF(X408&lt;=19,"L","A")),IF(X408&lt;=50,"L","A"))))))),
IF('Dados da OS'!$D$8=Parâmetros!$B$6,"Indicativa",
IF('Dados da OS'!$D$8=Parâmetros!$B$5,"PFS","")))</f>
        <v/>
      </c>
      <c r="AF408" s="57">
        <f>IFERROR(VLOOKUP(W408,'Fatores de Impacto e INMs'!$A$3:$D$32,3,0),1)</f>
        <v>1</v>
      </c>
      <c r="AG408" s="57">
        <f>IFERROR(VLOOKUP(W408,'Fatores de Impacto e INMs'!$A$3:$E$32,5,0),1)</f>
        <v>1</v>
      </c>
      <c r="AH408" s="82" t="str">
        <f xml:space="preserve">
IF(OR('Dados da OS'!$D$8="Selecione o tipo da contagem",ISBLANK('Dados da OS'!$D$8),V408="INM",V408="N/A",ISBLANK(V408),ISBLANK(W408),AG408="VF"),"-",
   IF('Dados da OS'!$D$8=Parâmetros!$B$3,
      IF(OR(ISBLANK(X408),ISBLANK(Z408)),"-",
         IF(AE408="L","Baixa",IF(AE408="A","Média",IF(AE408="H","Alta","-")))),
      IF('Dados da OS'!$D$8=Parâmetros!$B$4,
         IF(OR(V408="ALI",V408="AIE"),"Baixa",IF(OR(V408="EE",V408="SE",V408="CE"),"Média","-")),
         IF(OR('Dados da OS'!$D$8=Parâmetros!$B$5,'Dados da OS'!$D$8=Parâmetros!$B$6),"-"))))</f>
        <v>-</v>
      </c>
      <c r="AI408" s="83" t="str">
        <f xml:space="preserve">
IF(OR(ISBLANK(V408),ISBLANK(U408),ISBLANK(W408),V408="N/A",ISBLANK('Dados da OS'!$D$8)),"",
   IF(OR('Dados da OS'!$D$8=Parâmetros!$B$3,'Dados da OS'!$D$8=Parâmetros!$B$4),
      IF(OR(AND(V408="INM",AG408&lt;&gt;"VF"),AND(AG408="VF",V408&lt;&gt;"INM")),"",
        IF(AND(V408="INM",AG408="VF"),IF(ISBLANK(AB408),"",AF408*AB408),
        IF('Dados da OS'!$D$8=Parâmetros!$B$4,
           IF(OR(V408="CE",V408="EE"),4,IF(V408="SE",5,IF(V408="ALI",7,IF(V408="AIE",5,"")))),
        IF('Dados da OS'!$D$8=Parâmetros!$B$3,
           IF(OR(ISBLANK(X408),ISBLANK(Z408)),"",
              IF(V408="ALI",IF(AE408="L",7,IF(AE408="A",10,15)),
                 IF(V408="AIE",IF(AE408="L",5,IF(AE408="A",7,10)),
                    IF(V408="SE",IF(AE408="L",4,IF(AE408="A",5,7)),
                       IF(OR(V408="EE",V408="CE"),IF(AE408="L",3,IF(AE408="A",4,6)),""))))))))),
   IF('Dados da OS'!$D$8=Parâmetros!$B$5,
      IF(OR(AND(V408="INM",AG408&lt;&gt;"VF"),AND(AG408="VF",V408&lt;&gt;"INM")),"",
         IF(V408="INM",IF(AG408="VF",AF408*AB408,""),
            IF(V408="PE",4.6,
            IF(V408="AL",7,"")))),
   IF('Dados da OS'!$D$8=Parâmetros!$B$6,
      IF(V408="ALI",35,IF(V408="AIE",15,"")),""))
    )
)</f>
        <v/>
      </c>
      <c r="AJ408" s="82" t="str">
        <f t="shared" si="46"/>
        <v/>
      </c>
      <c r="AK408" s="84"/>
      <c r="AL408" s="85" t="s">
        <v>21</v>
      </c>
      <c r="AM408" s="86"/>
      <c r="AN408" s="85"/>
      <c r="AO408" s="87"/>
      <c r="AP408" s="85"/>
      <c r="AQ408" s="86"/>
      <c r="AR408" s="85"/>
    </row>
    <row r="409" spans="1:44" ht="15.75" customHeight="1">
      <c r="A409" s="54"/>
      <c r="B409" s="100"/>
      <c r="C409" s="55"/>
      <c r="D409" s="55"/>
      <c r="E409" s="56"/>
      <c r="F409" s="55"/>
      <c r="G409" s="56"/>
      <c r="H409" s="55"/>
      <c r="I409" s="64"/>
      <c r="J409" s="57" t="str">
        <f t="shared" si="41"/>
        <v/>
      </c>
      <c r="K409" s="57" t="str">
        <f t="shared" si="42"/>
        <v/>
      </c>
      <c r="L409" s="57" t="str">
        <f xml:space="preserve">
IF(OR('Dados da OS'!$D$8=Parâmetros!$B$3,'Dados da OS'!$D$8=Parâmetros!$B$4),
  IF(OR(ISBLANK(D409),ISBLANK(F409)),
     IF(OR(B409="ALI",B409="AIE"),"L",IF(ISBLANK(B409),"","A")),
     IF(B409="EE",IF(F409&gt;=3,IF(D409&gt;=5,"H","A"),
     IF(F409&gt;=2,IF(D409&gt;=16,"H",IF(D409&lt;=4,"L","A")),IF(D409&lt;=15,"L","A"))),
     IF(OR(B409="SE",B409="CE"),IF(F409&gt;=4,IF(D409&gt;=6,"H","A"),IF(F409&gt;=2,IF(D409&gt;=20,"H",IF(D409&lt;=5,"L","A")),IF(D409&lt;=19,"L","A"))),
     IF(OR(B409="ALI",B409="AIE"),IF(F409&gt;=6,IF(D409&gt;=20,"H","A"),IF(F409&gt;=2,IF(D409&gt;=51,"H",IF(D409&lt;=19,"L","A")),IF(D409&lt;=50,"L","A"))))))),
IF('Dados da OS'!$D$8=Parâmetros!$B$6,"Indicativa",
IF('Dados da OS'!$D$8=Parâmetros!$B$5,"PFS","")))</f>
        <v/>
      </c>
      <c r="M409" s="57">
        <f>IFERROR(VLOOKUP(C409,'Fatores de Impacto e INMs'!$A$3:$D$32,3,0),1)</f>
        <v>1</v>
      </c>
      <c r="N409" s="57">
        <f>IFERROR(VLOOKUP(C409,'Fatores de Impacto e INMs'!$A$3:$E$32,5,0),1)</f>
        <v>1</v>
      </c>
      <c r="O409" s="63" t="str">
        <f xml:space="preserve">
IF(OR('Dados da OS'!$D$8="Selecione o tipo da contagem",ISBLANK('Dados da OS'!$D$8),B409="INM",B409="N/A",ISBLANK(B409),ISBLANK(C409),N409="VF"),"-",
   IF('Dados da OS'!$D$8=Parâmetros!$B$3,
      IF(OR(ISBLANK(D409),ISBLANK(F409)),"-",
         IF(L409="L","Baixa",IF(L409="A","Média",IF(L409="H","Alta","-")))),
      IF('Dados da OS'!$D$8=Parâmetros!$B$4,
         IF(OR(B409="ALI",B409="AIE"),"Baixa",IF(OR(B409="EE",B409="SE",B409="CE"),"Média","-")),
         IF(OR('Dados da OS'!$D$8=Parâmetros!$B$5,'Dados da OS'!$D$8=Parâmetros!$B$6),"-"))))</f>
        <v>-</v>
      </c>
      <c r="P409" s="59" t="str">
        <f xml:space="preserve">
IF(OR(ISBLANK(B409),ISBLANK(C409),B409="N/A",ISBLANK('Dados da OS'!$D$8)),"",
   IF(OR('Dados da OS'!$D$8=Parâmetros!$B$3,'Dados da OS'!$D$8=Parâmetros!$B$4),
      IF(OR(AND(B409="INM",N409&lt;&gt;"VF"),AND(N409="VF",B409&lt;&gt;"INM")),"",
        IF(AND(B409="INM",N409="VF"),IF(ISBLANK(H409),"",M409*H409),
        IF('Dados da OS'!$D$8=Parâmetros!$B$4,
           IF(OR(B409="CE",B409="EE"),4,IF(B409="SE",5,IF(B409="ALI",7,IF(B409="AIE",5,"")))),
        IF('Dados da OS'!$D$8=Parâmetros!$B$3,
           IF(OR(ISBLANK(D409),ISBLANK(F409)),"",
              IF(B409="ALI",IF(L409="L",7,IF(L409="A",10,15)),
                 IF(B409="AIE",IF(L409="L",5,IF(L409="A",7,10)),
                    IF(B409="SE",IF(L409="L",4,IF(L409="A",5,7)),
                       IF(OR(B409="EE",B409="CE"),IF(L409="L",3,IF(L409="A",4,6)),""))))))))),
   IF('Dados da OS'!$D$8=Parâmetros!$B$5,
      IF(OR(AND(B409="INM",N409&lt;&gt;"VF"),AND(N409="VF",B409&lt;&gt;"INM")),"",
         IF(B409="INM",IF(N409="VF",M409*H409,""),
            IF(B409="PE",4.6,
            IF(B409="AL",7,"")))),
   IF('Dados da OS'!$D$8=Parâmetros!$B$6,
      IF(B409="ALI",35,IF(B409="AIE",15,"")),""))
    )
)</f>
        <v/>
      </c>
      <c r="Q409" s="60" t="str">
        <f t="shared" si="43"/>
        <v/>
      </c>
      <c r="R409" s="61"/>
      <c r="S409" s="62"/>
      <c r="T409" s="80" t="s">
        <v>21</v>
      </c>
      <c r="U409" s="81"/>
      <c r="V409" s="99"/>
      <c r="W409" s="55"/>
      <c r="X409" s="55"/>
      <c r="Y409" s="56"/>
      <c r="Z409" s="55"/>
      <c r="AA409" s="56"/>
      <c r="AB409" s="55"/>
      <c r="AC409" s="57" t="str">
        <f t="shared" si="44"/>
        <v/>
      </c>
      <c r="AD409" s="57" t="str">
        <f t="shared" si="45"/>
        <v/>
      </c>
      <c r="AE409" s="57" t="str">
        <f xml:space="preserve">
IF(OR('Dados da OS'!$D$8=Parâmetros!$B$3,'Dados da OS'!$D$8=Parâmetros!$B$4),
  IF(OR(ISBLANK(X409),ISBLANK(Z409)),
     IF(OR(V409="ALI",V409="AIE"),"L",IF(ISBLANK(V409),"","A")),
     IF(V409="EE",IF(Z409&gt;=3,IF(X409&gt;=5,"H","A"),
     IF(Z409&gt;=2,IF(X409&gt;=16,"H",IF(X409&lt;=4,"L","A")),IF(X409&lt;=15,"L","A"))),
     IF(OR(V409="SE",V409="CE"),IF(Z409&gt;=4,IF(X409&gt;=6,"H","A"),IF(Z409&gt;=2,IF(X409&gt;=20,"H",IF(X409&lt;=5,"L","A")),IF(X409&lt;=19,"L","A"))),
     IF(OR(V409="ALI",V409="AIE"),IF(Z409&gt;=6,IF(X409&gt;=20,"H","A"),IF(Z409&gt;=2,IF(X409&gt;=51,"H",IF(X409&lt;=19,"L","A")),IF(X409&lt;=50,"L","A"))))))),
IF('Dados da OS'!$D$8=Parâmetros!$B$6,"Indicativa",
IF('Dados da OS'!$D$8=Parâmetros!$B$5,"PFS","")))</f>
        <v/>
      </c>
      <c r="AF409" s="57">
        <f>IFERROR(VLOOKUP(W409,'Fatores de Impacto e INMs'!$A$3:$D$32,3,0),1)</f>
        <v>1</v>
      </c>
      <c r="AG409" s="57">
        <f>IFERROR(VLOOKUP(W409,'Fatores de Impacto e INMs'!$A$3:$E$32,5,0),1)</f>
        <v>1</v>
      </c>
      <c r="AH409" s="82" t="str">
        <f xml:space="preserve">
IF(OR('Dados da OS'!$D$8="Selecione o tipo da contagem",ISBLANK('Dados da OS'!$D$8),V409="INM",V409="N/A",ISBLANK(V409),ISBLANK(W409),AG409="VF"),"-",
   IF('Dados da OS'!$D$8=Parâmetros!$B$3,
      IF(OR(ISBLANK(X409),ISBLANK(Z409)),"-",
         IF(AE409="L","Baixa",IF(AE409="A","Média",IF(AE409="H","Alta","-")))),
      IF('Dados da OS'!$D$8=Parâmetros!$B$4,
         IF(OR(V409="ALI",V409="AIE"),"Baixa",IF(OR(V409="EE",V409="SE",V409="CE"),"Média","-")),
         IF(OR('Dados da OS'!$D$8=Parâmetros!$B$5,'Dados da OS'!$D$8=Parâmetros!$B$6),"-"))))</f>
        <v>-</v>
      </c>
      <c r="AI409" s="83" t="str">
        <f xml:space="preserve">
IF(OR(ISBLANK(V409),ISBLANK(U409),ISBLANK(W409),V409="N/A",ISBLANK('Dados da OS'!$D$8)),"",
   IF(OR('Dados da OS'!$D$8=Parâmetros!$B$3,'Dados da OS'!$D$8=Parâmetros!$B$4),
      IF(OR(AND(V409="INM",AG409&lt;&gt;"VF"),AND(AG409="VF",V409&lt;&gt;"INM")),"",
        IF(AND(V409="INM",AG409="VF"),IF(ISBLANK(AB409),"",AF409*AB409),
        IF('Dados da OS'!$D$8=Parâmetros!$B$4,
           IF(OR(V409="CE",V409="EE"),4,IF(V409="SE",5,IF(V409="ALI",7,IF(V409="AIE",5,"")))),
        IF('Dados da OS'!$D$8=Parâmetros!$B$3,
           IF(OR(ISBLANK(X409),ISBLANK(Z409)),"",
              IF(V409="ALI",IF(AE409="L",7,IF(AE409="A",10,15)),
                 IF(V409="AIE",IF(AE409="L",5,IF(AE409="A",7,10)),
                    IF(V409="SE",IF(AE409="L",4,IF(AE409="A",5,7)),
                       IF(OR(V409="EE",V409="CE"),IF(AE409="L",3,IF(AE409="A",4,6)),""))))))))),
   IF('Dados da OS'!$D$8=Parâmetros!$B$5,
      IF(OR(AND(V409="INM",AG409&lt;&gt;"VF"),AND(AG409="VF",V409&lt;&gt;"INM")),"",
         IF(V409="INM",IF(AG409="VF",AF409*AB409,""),
            IF(V409="PE",4.6,
            IF(V409="AL",7,"")))),
   IF('Dados da OS'!$D$8=Parâmetros!$B$6,
      IF(V409="ALI",35,IF(V409="AIE",15,"")),""))
    )
)</f>
        <v/>
      </c>
      <c r="AJ409" s="82" t="str">
        <f t="shared" si="46"/>
        <v/>
      </c>
      <c r="AK409" s="84"/>
      <c r="AL409" s="85" t="s">
        <v>21</v>
      </c>
      <c r="AM409" s="86"/>
      <c r="AN409" s="85"/>
      <c r="AO409" s="87"/>
      <c r="AP409" s="85"/>
      <c r="AQ409" s="86"/>
      <c r="AR409" s="85"/>
    </row>
    <row r="410" spans="1:44" ht="15.75" customHeight="1">
      <c r="A410" s="54"/>
      <c r="B410" s="100"/>
      <c r="C410" s="55"/>
      <c r="D410" s="55"/>
      <c r="E410" s="56"/>
      <c r="F410" s="55"/>
      <c r="G410" s="56"/>
      <c r="H410" s="55"/>
      <c r="I410" s="64"/>
      <c r="J410" s="57" t="str">
        <f t="shared" si="41"/>
        <v/>
      </c>
      <c r="K410" s="57" t="str">
        <f t="shared" si="42"/>
        <v/>
      </c>
      <c r="L410" s="57" t="str">
        <f xml:space="preserve">
IF(OR('Dados da OS'!$D$8=Parâmetros!$B$3,'Dados da OS'!$D$8=Parâmetros!$B$4),
  IF(OR(ISBLANK(D410),ISBLANK(F410)),
     IF(OR(B410="ALI",B410="AIE"),"L",IF(ISBLANK(B410),"","A")),
     IF(B410="EE",IF(F410&gt;=3,IF(D410&gt;=5,"H","A"),
     IF(F410&gt;=2,IF(D410&gt;=16,"H",IF(D410&lt;=4,"L","A")),IF(D410&lt;=15,"L","A"))),
     IF(OR(B410="SE",B410="CE"),IF(F410&gt;=4,IF(D410&gt;=6,"H","A"),IF(F410&gt;=2,IF(D410&gt;=20,"H",IF(D410&lt;=5,"L","A")),IF(D410&lt;=19,"L","A"))),
     IF(OR(B410="ALI",B410="AIE"),IF(F410&gt;=6,IF(D410&gt;=20,"H","A"),IF(F410&gt;=2,IF(D410&gt;=51,"H",IF(D410&lt;=19,"L","A")),IF(D410&lt;=50,"L","A"))))))),
IF('Dados da OS'!$D$8=Parâmetros!$B$6,"Indicativa",
IF('Dados da OS'!$D$8=Parâmetros!$B$5,"PFS","")))</f>
        <v/>
      </c>
      <c r="M410" s="57">
        <f>IFERROR(VLOOKUP(C410,'Fatores de Impacto e INMs'!$A$3:$D$32,3,0),1)</f>
        <v>1</v>
      </c>
      <c r="N410" s="57">
        <f>IFERROR(VLOOKUP(C410,'Fatores de Impacto e INMs'!$A$3:$E$32,5,0),1)</f>
        <v>1</v>
      </c>
      <c r="O410" s="63" t="str">
        <f xml:space="preserve">
IF(OR('Dados da OS'!$D$8="Selecione o tipo da contagem",ISBLANK('Dados da OS'!$D$8),B410="INM",B410="N/A",ISBLANK(B410),ISBLANK(C410),N410="VF"),"-",
   IF('Dados da OS'!$D$8=Parâmetros!$B$3,
      IF(OR(ISBLANK(D410),ISBLANK(F410)),"-",
         IF(L410="L","Baixa",IF(L410="A","Média",IF(L410="H","Alta","-")))),
      IF('Dados da OS'!$D$8=Parâmetros!$B$4,
         IF(OR(B410="ALI",B410="AIE"),"Baixa",IF(OR(B410="EE",B410="SE",B410="CE"),"Média","-")),
         IF(OR('Dados da OS'!$D$8=Parâmetros!$B$5,'Dados da OS'!$D$8=Parâmetros!$B$6),"-"))))</f>
        <v>-</v>
      </c>
      <c r="P410" s="59" t="str">
        <f xml:space="preserve">
IF(OR(ISBLANK(B410),ISBLANK(C410),B410="N/A",ISBLANK('Dados da OS'!$D$8)),"",
   IF(OR('Dados da OS'!$D$8=Parâmetros!$B$3,'Dados da OS'!$D$8=Parâmetros!$B$4),
      IF(OR(AND(B410="INM",N410&lt;&gt;"VF"),AND(N410="VF",B410&lt;&gt;"INM")),"",
        IF(AND(B410="INM",N410="VF"),IF(ISBLANK(H410),"",M410*H410),
        IF('Dados da OS'!$D$8=Parâmetros!$B$4,
           IF(OR(B410="CE",B410="EE"),4,IF(B410="SE",5,IF(B410="ALI",7,IF(B410="AIE",5,"")))),
        IF('Dados da OS'!$D$8=Parâmetros!$B$3,
           IF(OR(ISBLANK(D410),ISBLANK(F410)),"",
              IF(B410="ALI",IF(L410="L",7,IF(L410="A",10,15)),
                 IF(B410="AIE",IF(L410="L",5,IF(L410="A",7,10)),
                    IF(B410="SE",IF(L410="L",4,IF(L410="A",5,7)),
                       IF(OR(B410="EE",B410="CE"),IF(L410="L",3,IF(L410="A",4,6)),""))))))))),
   IF('Dados da OS'!$D$8=Parâmetros!$B$5,
      IF(OR(AND(B410="INM",N410&lt;&gt;"VF"),AND(N410="VF",B410&lt;&gt;"INM")),"",
         IF(B410="INM",IF(N410="VF",M410*H410,""),
            IF(B410="PE",4.6,
            IF(B410="AL",7,"")))),
   IF('Dados da OS'!$D$8=Parâmetros!$B$6,
      IF(B410="ALI",35,IF(B410="AIE",15,"")),""))
    )
)</f>
        <v/>
      </c>
      <c r="Q410" s="60" t="str">
        <f t="shared" si="43"/>
        <v/>
      </c>
      <c r="R410" s="61"/>
      <c r="S410" s="62"/>
      <c r="T410" s="80" t="s">
        <v>21</v>
      </c>
      <c r="U410" s="81"/>
      <c r="V410" s="99"/>
      <c r="W410" s="55"/>
      <c r="X410" s="55"/>
      <c r="Y410" s="56"/>
      <c r="Z410" s="55"/>
      <c r="AA410" s="56"/>
      <c r="AB410" s="55"/>
      <c r="AC410" s="57" t="str">
        <f t="shared" si="44"/>
        <v/>
      </c>
      <c r="AD410" s="57" t="str">
        <f t="shared" si="45"/>
        <v/>
      </c>
      <c r="AE410" s="57" t="str">
        <f xml:space="preserve">
IF(OR('Dados da OS'!$D$8=Parâmetros!$B$3,'Dados da OS'!$D$8=Parâmetros!$B$4),
  IF(OR(ISBLANK(X410),ISBLANK(Z410)),
     IF(OR(V410="ALI",V410="AIE"),"L",IF(ISBLANK(V410),"","A")),
     IF(V410="EE",IF(Z410&gt;=3,IF(X410&gt;=5,"H","A"),
     IF(Z410&gt;=2,IF(X410&gt;=16,"H",IF(X410&lt;=4,"L","A")),IF(X410&lt;=15,"L","A"))),
     IF(OR(V410="SE",V410="CE"),IF(Z410&gt;=4,IF(X410&gt;=6,"H","A"),IF(Z410&gt;=2,IF(X410&gt;=20,"H",IF(X410&lt;=5,"L","A")),IF(X410&lt;=19,"L","A"))),
     IF(OR(V410="ALI",V410="AIE"),IF(Z410&gt;=6,IF(X410&gt;=20,"H","A"),IF(Z410&gt;=2,IF(X410&gt;=51,"H",IF(X410&lt;=19,"L","A")),IF(X410&lt;=50,"L","A"))))))),
IF('Dados da OS'!$D$8=Parâmetros!$B$6,"Indicativa",
IF('Dados da OS'!$D$8=Parâmetros!$B$5,"PFS","")))</f>
        <v/>
      </c>
      <c r="AF410" s="57">
        <f>IFERROR(VLOOKUP(W410,'Fatores de Impacto e INMs'!$A$3:$D$32,3,0),1)</f>
        <v>1</v>
      </c>
      <c r="AG410" s="57">
        <f>IFERROR(VLOOKUP(W410,'Fatores de Impacto e INMs'!$A$3:$E$32,5,0),1)</f>
        <v>1</v>
      </c>
      <c r="AH410" s="82" t="str">
        <f xml:space="preserve">
IF(OR('Dados da OS'!$D$8="Selecione o tipo da contagem",ISBLANK('Dados da OS'!$D$8),V410="INM",V410="N/A",ISBLANK(V410),ISBLANK(W410),AG410="VF"),"-",
   IF('Dados da OS'!$D$8=Parâmetros!$B$3,
      IF(OR(ISBLANK(X410),ISBLANK(Z410)),"-",
         IF(AE410="L","Baixa",IF(AE410="A","Média",IF(AE410="H","Alta","-")))),
      IF('Dados da OS'!$D$8=Parâmetros!$B$4,
         IF(OR(V410="ALI",V410="AIE"),"Baixa",IF(OR(V410="EE",V410="SE",V410="CE"),"Média","-")),
         IF(OR('Dados da OS'!$D$8=Parâmetros!$B$5,'Dados da OS'!$D$8=Parâmetros!$B$6),"-"))))</f>
        <v>-</v>
      </c>
      <c r="AI410" s="83" t="str">
        <f xml:space="preserve">
IF(OR(ISBLANK(V410),ISBLANK(U410),ISBLANK(W410),V410="N/A",ISBLANK('Dados da OS'!$D$8)),"",
   IF(OR('Dados da OS'!$D$8=Parâmetros!$B$3,'Dados da OS'!$D$8=Parâmetros!$B$4),
      IF(OR(AND(V410="INM",AG410&lt;&gt;"VF"),AND(AG410="VF",V410&lt;&gt;"INM")),"",
        IF(AND(V410="INM",AG410="VF"),IF(ISBLANK(AB410),"",AF410*AB410),
        IF('Dados da OS'!$D$8=Parâmetros!$B$4,
           IF(OR(V410="CE",V410="EE"),4,IF(V410="SE",5,IF(V410="ALI",7,IF(V410="AIE",5,"")))),
        IF('Dados da OS'!$D$8=Parâmetros!$B$3,
           IF(OR(ISBLANK(X410),ISBLANK(Z410)),"",
              IF(V410="ALI",IF(AE410="L",7,IF(AE410="A",10,15)),
                 IF(V410="AIE",IF(AE410="L",5,IF(AE410="A",7,10)),
                    IF(V410="SE",IF(AE410="L",4,IF(AE410="A",5,7)),
                       IF(OR(V410="EE",V410="CE"),IF(AE410="L",3,IF(AE410="A",4,6)),""))))))))),
   IF('Dados da OS'!$D$8=Parâmetros!$B$5,
      IF(OR(AND(V410="INM",AG410&lt;&gt;"VF"),AND(AG410="VF",V410&lt;&gt;"INM")),"",
         IF(V410="INM",IF(AG410="VF",AF410*AB410,""),
            IF(V410="PE",4.6,
            IF(V410="AL",7,"")))),
   IF('Dados da OS'!$D$8=Parâmetros!$B$6,
      IF(V410="ALI",35,IF(V410="AIE",15,"")),""))
    )
)</f>
        <v/>
      </c>
      <c r="AJ410" s="82" t="str">
        <f t="shared" si="46"/>
        <v/>
      </c>
      <c r="AK410" s="84"/>
      <c r="AL410" s="85" t="s">
        <v>21</v>
      </c>
      <c r="AM410" s="86"/>
      <c r="AN410" s="85"/>
      <c r="AO410" s="87"/>
      <c r="AP410" s="85"/>
      <c r="AQ410" s="86"/>
      <c r="AR410" s="85"/>
    </row>
    <row r="411" spans="1:44" ht="15.75" customHeight="1">
      <c r="A411" s="54"/>
      <c r="B411" s="100"/>
      <c r="C411" s="55"/>
      <c r="D411" s="55"/>
      <c r="E411" s="56"/>
      <c r="F411" s="55"/>
      <c r="G411" s="56"/>
      <c r="H411" s="55"/>
      <c r="I411" s="64"/>
      <c r="J411" s="57" t="str">
        <f t="shared" si="41"/>
        <v/>
      </c>
      <c r="K411" s="57" t="str">
        <f t="shared" si="42"/>
        <v/>
      </c>
      <c r="L411" s="57" t="str">
        <f xml:space="preserve">
IF(OR('Dados da OS'!$D$8=Parâmetros!$B$3,'Dados da OS'!$D$8=Parâmetros!$B$4),
  IF(OR(ISBLANK(D411),ISBLANK(F411)),
     IF(OR(B411="ALI",B411="AIE"),"L",IF(ISBLANK(B411),"","A")),
     IF(B411="EE",IF(F411&gt;=3,IF(D411&gt;=5,"H","A"),
     IF(F411&gt;=2,IF(D411&gt;=16,"H",IF(D411&lt;=4,"L","A")),IF(D411&lt;=15,"L","A"))),
     IF(OR(B411="SE",B411="CE"),IF(F411&gt;=4,IF(D411&gt;=6,"H","A"),IF(F411&gt;=2,IF(D411&gt;=20,"H",IF(D411&lt;=5,"L","A")),IF(D411&lt;=19,"L","A"))),
     IF(OR(B411="ALI",B411="AIE"),IF(F411&gt;=6,IF(D411&gt;=20,"H","A"),IF(F411&gt;=2,IF(D411&gt;=51,"H",IF(D411&lt;=19,"L","A")),IF(D411&lt;=50,"L","A"))))))),
IF('Dados da OS'!$D$8=Parâmetros!$B$6,"Indicativa",
IF('Dados da OS'!$D$8=Parâmetros!$B$5,"PFS","")))</f>
        <v/>
      </c>
      <c r="M411" s="57">
        <f>IFERROR(VLOOKUP(C411,'Fatores de Impacto e INMs'!$A$3:$D$32,3,0),1)</f>
        <v>1</v>
      </c>
      <c r="N411" s="57">
        <f>IFERROR(VLOOKUP(C411,'Fatores de Impacto e INMs'!$A$3:$E$32,5,0),1)</f>
        <v>1</v>
      </c>
      <c r="O411" s="63" t="str">
        <f xml:space="preserve">
IF(OR('Dados da OS'!$D$8="Selecione o tipo da contagem",ISBLANK('Dados da OS'!$D$8),B411="INM",B411="N/A",ISBLANK(B411),ISBLANK(C411),N411="VF"),"-",
   IF('Dados da OS'!$D$8=Parâmetros!$B$3,
      IF(OR(ISBLANK(D411),ISBLANK(F411)),"-",
         IF(L411="L","Baixa",IF(L411="A","Média",IF(L411="H","Alta","-")))),
      IF('Dados da OS'!$D$8=Parâmetros!$B$4,
         IF(OR(B411="ALI",B411="AIE"),"Baixa",IF(OR(B411="EE",B411="SE",B411="CE"),"Média","-")),
         IF(OR('Dados da OS'!$D$8=Parâmetros!$B$5,'Dados da OS'!$D$8=Parâmetros!$B$6),"-"))))</f>
        <v>-</v>
      </c>
      <c r="P411" s="59" t="str">
        <f xml:space="preserve">
IF(OR(ISBLANK(B411),ISBLANK(C411),B411="N/A",ISBLANK('Dados da OS'!$D$8)),"",
   IF(OR('Dados da OS'!$D$8=Parâmetros!$B$3,'Dados da OS'!$D$8=Parâmetros!$B$4),
      IF(OR(AND(B411="INM",N411&lt;&gt;"VF"),AND(N411="VF",B411&lt;&gt;"INM")),"",
        IF(AND(B411="INM",N411="VF"),IF(ISBLANK(H411),"",M411*H411),
        IF('Dados da OS'!$D$8=Parâmetros!$B$4,
           IF(OR(B411="CE",B411="EE"),4,IF(B411="SE",5,IF(B411="ALI",7,IF(B411="AIE",5,"")))),
        IF('Dados da OS'!$D$8=Parâmetros!$B$3,
           IF(OR(ISBLANK(D411),ISBLANK(F411)),"",
              IF(B411="ALI",IF(L411="L",7,IF(L411="A",10,15)),
                 IF(B411="AIE",IF(L411="L",5,IF(L411="A",7,10)),
                    IF(B411="SE",IF(L411="L",4,IF(L411="A",5,7)),
                       IF(OR(B411="EE",B411="CE"),IF(L411="L",3,IF(L411="A",4,6)),""))))))))),
   IF('Dados da OS'!$D$8=Parâmetros!$B$5,
      IF(OR(AND(B411="INM",N411&lt;&gt;"VF"),AND(N411="VF",B411&lt;&gt;"INM")),"",
         IF(B411="INM",IF(N411="VF",M411*H411,""),
            IF(B411="PE",4.6,
            IF(B411="AL",7,"")))),
   IF('Dados da OS'!$D$8=Parâmetros!$B$6,
      IF(B411="ALI",35,IF(B411="AIE",15,"")),""))
    )
)</f>
        <v/>
      </c>
      <c r="Q411" s="60" t="str">
        <f t="shared" si="43"/>
        <v/>
      </c>
      <c r="R411" s="61"/>
      <c r="S411" s="62"/>
      <c r="T411" s="80" t="s">
        <v>21</v>
      </c>
      <c r="U411" s="81"/>
      <c r="V411" s="99"/>
      <c r="W411" s="55"/>
      <c r="X411" s="55"/>
      <c r="Y411" s="56"/>
      <c r="Z411" s="55"/>
      <c r="AA411" s="56"/>
      <c r="AB411" s="55"/>
      <c r="AC411" s="57" t="str">
        <f t="shared" si="44"/>
        <v/>
      </c>
      <c r="AD411" s="57" t="str">
        <f t="shared" si="45"/>
        <v/>
      </c>
      <c r="AE411" s="57" t="str">
        <f xml:space="preserve">
IF(OR('Dados da OS'!$D$8=Parâmetros!$B$3,'Dados da OS'!$D$8=Parâmetros!$B$4),
  IF(OR(ISBLANK(X411),ISBLANK(Z411)),
     IF(OR(V411="ALI",V411="AIE"),"L",IF(ISBLANK(V411),"","A")),
     IF(V411="EE",IF(Z411&gt;=3,IF(X411&gt;=5,"H","A"),
     IF(Z411&gt;=2,IF(X411&gt;=16,"H",IF(X411&lt;=4,"L","A")),IF(X411&lt;=15,"L","A"))),
     IF(OR(V411="SE",V411="CE"),IF(Z411&gt;=4,IF(X411&gt;=6,"H","A"),IF(Z411&gt;=2,IF(X411&gt;=20,"H",IF(X411&lt;=5,"L","A")),IF(X411&lt;=19,"L","A"))),
     IF(OR(V411="ALI",V411="AIE"),IF(Z411&gt;=6,IF(X411&gt;=20,"H","A"),IF(Z411&gt;=2,IF(X411&gt;=51,"H",IF(X411&lt;=19,"L","A")),IF(X411&lt;=50,"L","A"))))))),
IF('Dados da OS'!$D$8=Parâmetros!$B$6,"Indicativa",
IF('Dados da OS'!$D$8=Parâmetros!$B$5,"PFS","")))</f>
        <v/>
      </c>
      <c r="AF411" s="57">
        <f>IFERROR(VLOOKUP(W411,'Fatores de Impacto e INMs'!$A$3:$D$32,3,0),1)</f>
        <v>1</v>
      </c>
      <c r="AG411" s="57">
        <f>IFERROR(VLOOKUP(W411,'Fatores de Impacto e INMs'!$A$3:$E$32,5,0),1)</f>
        <v>1</v>
      </c>
      <c r="AH411" s="82" t="str">
        <f xml:space="preserve">
IF(OR('Dados da OS'!$D$8="Selecione o tipo da contagem",ISBLANK('Dados da OS'!$D$8),V411="INM",V411="N/A",ISBLANK(V411),ISBLANK(W411),AG411="VF"),"-",
   IF('Dados da OS'!$D$8=Parâmetros!$B$3,
      IF(OR(ISBLANK(X411),ISBLANK(Z411)),"-",
         IF(AE411="L","Baixa",IF(AE411="A","Média",IF(AE411="H","Alta","-")))),
      IF('Dados da OS'!$D$8=Parâmetros!$B$4,
         IF(OR(V411="ALI",V411="AIE"),"Baixa",IF(OR(V411="EE",V411="SE",V411="CE"),"Média","-")),
         IF(OR('Dados da OS'!$D$8=Parâmetros!$B$5,'Dados da OS'!$D$8=Parâmetros!$B$6),"-"))))</f>
        <v>-</v>
      </c>
      <c r="AI411" s="83" t="str">
        <f xml:space="preserve">
IF(OR(ISBLANK(V411),ISBLANK(U411),ISBLANK(W411),V411="N/A",ISBLANK('Dados da OS'!$D$8)),"",
   IF(OR('Dados da OS'!$D$8=Parâmetros!$B$3,'Dados da OS'!$D$8=Parâmetros!$B$4),
      IF(OR(AND(V411="INM",AG411&lt;&gt;"VF"),AND(AG411="VF",V411&lt;&gt;"INM")),"",
        IF(AND(V411="INM",AG411="VF"),IF(ISBLANK(AB411),"",AF411*AB411),
        IF('Dados da OS'!$D$8=Parâmetros!$B$4,
           IF(OR(V411="CE",V411="EE"),4,IF(V411="SE",5,IF(V411="ALI",7,IF(V411="AIE",5,"")))),
        IF('Dados da OS'!$D$8=Parâmetros!$B$3,
           IF(OR(ISBLANK(X411),ISBLANK(Z411)),"",
              IF(V411="ALI",IF(AE411="L",7,IF(AE411="A",10,15)),
                 IF(V411="AIE",IF(AE411="L",5,IF(AE411="A",7,10)),
                    IF(V411="SE",IF(AE411="L",4,IF(AE411="A",5,7)),
                       IF(OR(V411="EE",V411="CE"),IF(AE411="L",3,IF(AE411="A",4,6)),""))))))))),
   IF('Dados da OS'!$D$8=Parâmetros!$B$5,
      IF(OR(AND(V411="INM",AG411&lt;&gt;"VF"),AND(AG411="VF",V411&lt;&gt;"INM")),"",
         IF(V411="INM",IF(AG411="VF",AF411*AB411,""),
            IF(V411="PE",4.6,
            IF(V411="AL",7,"")))),
   IF('Dados da OS'!$D$8=Parâmetros!$B$6,
      IF(V411="ALI",35,IF(V411="AIE",15,"")),""))
    )
)</f>
        <v/>
      </c>
      <c r="AJ411" s="82" t="str">
        <f t="shared" si="46"/>
        <v/>
      </c>
      <c r="AK411" s="84"/>
      <c r="AL411" s="85" t="s">
        <v>21</v>
      </c>
      <c r="AM411" s="86"/>
      <c r="AN411" s="85"/>
      <c r="AO411" s="87"/>
      <c r="AP411" s="85"/>
      <c r="AQ411" s="86"/>
      <c r="AR411" s="85"/>
    </row>
    <row r="412" spans="1:44" ht="15.75" customHeight="1">
      <c r="A412" s="54"/>
      <c r="B412" s="100"/>
      <c r="C412" s="55"/>
      <c r="D412" s="55"/>
      <c r="E412" s="56"/>
      <c r="F412" s="55"/>
      <c r="G412" s="56"/>
      <c r="H412" s="55"/>
      <c r="I412" s="64"/>
      <c r="J412" s="57" t="str">
        <f t="shared" si="41"/>
        <v/>
      </c>
      <c r="K412" s="57" t="str">
        <f t="shared" si="42"/>
        <v/>
      </c>
      <c r="L412" s="57" t="str">
        <f xml:space="preserve">
IF(OR('Dados da OS'!$D$8=Parâmetros!$B$3,'Dados da OS'!$D$8=Parâmetros!$B$4),
  IF(OR(ISBLANK(D412),ISBLANK(F412)),
     IF(OR(B412="ALI",B412="AIE"),"L",IF(ISBLANK(B412),"","A")),
     IF(B412="EE",IF(F412&gt;=3,IF(D412&gt;=5,"H","A"),
     IF(F412&gt;=2,IF(D412&gt;=16,"H",IF(D412&lt;=4,"L","A")),IF(D412&lt;=15,"L","A"))),
     IF(OR(B412="SE",B412="CE"),IF(F412&gt;=4,IF(D412&gt;=6,"H","A"),IF(F412&gt;=2,IF(D412&gt;=20,"H",IF(D412&lt;=5,"L","A")),IF(D412&lt;=19,"L","A"))),
     IF(OR(B412="ALI",B412="AIE"),IF(F412&gt;=6,IF(D412&gt;=20,"H","A"),IF(F412&gt;=2,IF(D412&gt;=51,"H",IF(D412&lt;=19,"L","A")),IF(D412&lt;=50,"L","A"))))))),
IF('Dados da OS'!$D$8=Parâmetros!$B$6,"Indicativa",
IF('Dados da OS'!$D$8=Parâmetros!$B$5,"PFS","")))</f>
        <v/>
      </c>
      <c r="M412" s="57">
        <f>IFERROR(VLOOKUP(C412,'Fatores de Impacto e INMs'!$A$3:$D$32,3,0),1)</f>
        <v>1</v>
      </c>
      <c r="N412" s="57">
        <f>IFERROR(VLOOKUP(C412,'Fatores de Impacto e INMs'!$A$3:$E$32,5,0),1)</f>
        <v>1</v>
      </c>
      <c r="O412" s="63" t="str">
        <f xml:space="preserve">
IF(OR('Dados da OS'!$D$8="Selecione o tipo da contagem",ISBLANK('Dados da OS'!$D$8),B412="INM",B412="N/A",ISBLANK(B412),ISBLANK(C412),N412="VF"),"-",
   IF('Dados da OS'!$D$8=Parâmetros!$B$3,
      IF(OR(ISBLANK(D412),ISBLANK(F412)),"-",
         IF(L412="L","Baixa",IF(L412="A","Média",IF(L412="H","Alta","-")))),
      IF('Dados da OS'!$D$8=Parâmetros!$B$4,
         IF(OR(B412="ALI",B412="AIE"),"Baixa",IF(OR(B412="EE",B412="SE",B412="CE"),"Média","-")),
         IF(OR('Dados da OS'!$D$8=Parâmetros!$B$5,'Dados da OS'!$D$8=Parâmetros!$B$6),"-"))))</f>
        <v>-</v>
      </c>
      <c r="P412" s="59" t="str">
        <f xml:space="preserve">
IF(OR(ISBLANK(B412),ISBLANK(C412),B412="N/A",ISBLANK('Dados da OS'!$D$8)),"",
   IF(OR('Dados da OS'!$D$8=Parâmetros!$B$3,'Dados da OS'!$D$8=Parâmetros!$B$4),
      IF(OR(AND(B412="INM",N412&lt;&gt;"VF"),AND(N412="VF",B412&lt;&gt;"INM")),"",
        IF(AND(B412="INM",N412="VF"),IF(ISBLANK(H412),"",M412*H412),
        IF('Dados da OS'!$D$8=Parâmetros!$B$4,
           IF(OR(B412="CE",B412="EE"),4,IF(B412="SE",5,IF(B412="ALI",7,IF(B412="AIE",5,"")))),
        IF('Dados da OS'!$D$8=Parâmetros!$B$3,
           IF(OR(ISBLANK(D412),ISBLANK(F412)),"",
              IF(B412="ALI",IF(L412="L",7,IF(L412="A",10,15)),
                 IF(B412="AIE",IF(L412="L",5,IF(L412="A",7,10)),
                    IF(B412="SE",IF(L412="L",4,IF(L412="A",5,7)),
                       IF(OR(B412="EE",B412="CE"),IF(L412="L",3,IF(L412="A",4,6)),""))))))))),
   IF('Dados da OS'!$D$8=Parâmetros!$B$5,
      IF(OR(AND(B412="INM",N412&lt;&gt;"VF"),AND(N412="VF",B412&lt;&gt;"INM")),"",
         IF(B412="INM",IF(N412="VF",M412*H412,""),
            IF(B412="PE",4.6,
            IF(B412="AL",7,"")))),
   IF('Dados da OS'!$D$8=Parâmetros!$B$6,
      IF(B412="ALI",35,IF(B412="AIE",15,"")),""))
    )
)</f>
        <v/>
      </c>
      <c r="Q412" s="60" t="str">
        <f t="shared" si="43"/>
        <v/>
      </c>
      <c r="R412" s="61"/>
      <c r="S412" s="62"/>
      <c r="T412" s="80" t="s">
        <v>21</v>
      </c>
      <c r="U412" s="81"/>
      <c r="V412" s="99"/>
      <c r="W412" s="55"/>
      <c r="X412" s="55"/>
      <c r="Y412" s="56"/>
      <c r="Z412" s="55"/>
      <c r="AA412" s="56"/>
      <c r="AB412" s="55"/>
      <c r="AC412" s="57" t="str">
        <f t="shared" si="44"/>
        <v/>
      </c>
      <c r="AD412" s="57" t="str">
        <f t="shared" si="45"/>
        <v/>
      </c>
      <c r="AE412" s="57" t="str">
        <f xml:space="preserve">
IF(OR('Dados da OS'!$D$8=Parâmetros!$B$3,'Dados da OS'!$D$8=Parâmetros!$B$4),
  IF(OR(ISBLANK(X412),ISBLANK(Z412)),
     IF(OR(V412="ALI",V412="AIE"),"L",IF(ISBLANK(V412),"","A")),
     IF(V412="EE",IF(Z412&gt;=3,IF(X412&gt;=5,"H","A"),
     IF(Z412&gt;=2,IF(X412&gt;=16,"H",IF(X412&lt;=4,"L","A")),IF(X412&lt;=15,"L","A"))),
     IF(OR(V412="SE",V412="CE"),IF(Z412&gt;=4,IF(X412&gt;=6,"H","A"),IF(Z412&gt;=2,IF(X412&gt;=20,"H",IF(X412&lt;=5,"L","A")),IF(X412&lt;=19,"L","A"))),
     IF(OR(V412="ALI",V412="AIE"),IF(Z412&gt;=6,IF(X412&gt;=20,"H","A"),IF(Z412&gt;=2,IF(X412&gt;=51,"H",IF(X412&lt;=19,"L","A")),IF(X412&lt;=50,"L","A"))))))),
IF('Dados da OS'!$D$8=Parâmetros!$B$6,"Indicativa",
IF('Dados da OS'!$D$8=Parâmetros!$B$5,"PFS","")))</f>
        <v/>
      </c>
      <c r="AF412" s="57">
        <f>IFERROR(VLOOKUP(W412,'Fatores de Impacto e INMs'!$A$3:$D$32,3,0),1)</f>
        <v>1</v>
      </c>
      <c r="AG412" s="57">
        <f>IFERROR(VLOOKUP(W412,'Fatores de Impacto e INMs'!$A$3:$E$32,5,0),1)</f>
        <v>1</v>
      </c>
      <c r="AH412" s="82" t="str">
        <f xml:space="preserve">
IF(OR('Dados da OS'!$D$8="Selecione o tipo da contagem",ISBLANK('Dados da OS'!$D$8),V412="INM",V412="N/A",ISBLANK(V412),ISBLANK(W412),AG412="VF"),"-",
   IF('Dados da OS'!$D$8=Parâmetros!$B$3,
      IF(OR(ISBLANK(X412),ISBLANK(Z412)),"-",
         IF(AE412="L","Baixa",IF(AE412="A","Média",IF(AE412="H","Alta","-")))),
      IF('Dados da OS'!$D$8=Parâmetros!$B$4,
         IF(OR(V412="ALI",V412="AIE"),"Baixa",IF(OR(V412="EE",V412="SE",V412="CE"),"Média","-")),
         IF(OR('Dados da OS'!$D$8=Parâmetros!$B$5,'Dados da OS'!$D$8=Parâmetros!$B$6),"-"))))</f>
        <v>-</v>
      </c>
      <c r="AI412" s="83" t="str">
        <f xml:space="preserve">
IF(OR(ISBLANK(V412),ISBLANK(U412),ISBLANK(W412),V412="N/A",ISBLANK('Dados da OS'!$D$8)),"",
   IF(OR('Dados da OS'!$D$8=Parâmetros!$B$3,'Dados da OS'!$D$8=Parâmetros!$B$4),
      IF(OR(AND(V412="INM",AG412&lt;&gt;"VF"),AND(AG412="VF",V412&lt;&gt;"INM")),"",
        IF(AND(V412="INM",AG412="VF"),IF(ISBLANK(AB412),"",AF412*AB412),
        IF('Dados da OS'!$D$8=Parâmetros!$B$4,
           IF(OR(V412="CE",V412="EE"),4,IF(V412="SE",5,IF(V412="ALI",7,IF(V412="AIE",5,"")))),
        IF('Dados da OS'!$D$8=Parâmetros!$B$3,
           IF(OR(ISBLANK(X412),ISBLANK(Z412)),"",
              IF(V412="ALI",IF(AE412="L",7,IF(AE412="A",10,15)),
                 IF(V412="AIE",IF(AE412="L",5,IF(AE412="A",7,10)),
                    IF(V412="SE",IF(AE412="L",4,IF(AE412="A",5,7)),
                       IF(OR(V412="EE",V412="CE"),IF(AE412="L",3,IF(AE412="A",4,6)),""))))))))),
   IF('Dados da OS'!$D$8=Parâmetros!$B$5,
      IF(OR(AND(V412="INM",AG412&lt;&gt;"VF"),AND(AG412="VF",V412&lt;&gt;"INM")),"",
         IF(V412="INM",IF(AG412="VF",AF412*AB412,""),
            IF(V412="PE",4.6,
            IF(V412="AL",7,"")))),
   IF('Dados da OS'!$D$8=Parâmetros!$B$6,
      IF(V412="ALI",35,IF(V412="AIE",15,"")),""))
    )
)</f>
        <v/>
      </c>
      <c r="AJ412" s="82" t="str">
        <f t="shared" si="46"/>
        <v/>
      </c>
      <c r="AK412" s="84"/>
      <c r="AL412" s="85" t="s">
        <v>21</v>
      </c>
      <c r="AM412" s="86"/>
      <c r="AN412" s="85"/>
      <c r="AO412" s="87"/>
      <c r="AP412" s="85"/>
      <c r="AQ412" s="86"/>
      <c r="AR412" s="85"/>
    </row>
    <row r="413" spans="1:44" ht="15.75" customHeight="1">
      <c r="A413" s="54"/>
      <c r="B413" s="100"/>
      <c r="C413" s="55"/>
      <c r="D413" s="55"/>
      <c r="E413" s="56"/>
      <c r="F413" s="55"/>
      <c r="G413" s="56"/>
      <c r="H413" s="55"/>
      <c r="I413" s="64"/>
      <c r="J413" s="57" t="str">
        <f t="shared" si="41"/>
        <v/>
      </c>
      <c r="K413" s="57" t="str">
        <f t="shared" si="42"/>
        <v/>
      </c>
      <c r="L413" s="57" t="str">
        <f xml:space="preserve">
IF(OR('Dados da OS'!$D$8=Parâmetros!$B$3,'Dados da OS'!$D$8=Parâmetros!$B$4),
  IF(OR(ISBLANK(D413),ISBLANK(F413)),
     IF(OR(B413="ALI",B413="AIE"),"L",IF(ISBLANK(B413),"","A")),
     IF(B413="EE",IF(F413&gt;=3,IF(D413&gt;=5,"H","A"),
     IF(F413&gt;=2,IF(D413&gt;=16,"H",IF(D413&lt;=4,"L","A")),IF(D413&lt;=15,"L","A"))),
     IF(OR(B413="SE",B413="CE"),IF(F413&gt;=4,IF(D413&gt;=6,"H","A"),IF(F413&gt;=2,IF(D413&gt;=20,"H",IF(D413&lt;=5,"L","A")),IF(D413&lt;=19,"L","A"))),
     IF(OR(B413="ALI",B413="AIE"),IF(F413&gt;=6,IF(D413&gt;=20,"H","A"),IF(F413&gt;=2,IF(D413&gt;=51,"H",IF(D413&lt;=19,"L","A")),IF(D413&lt;=50,"L","A"))))))),
IF('Dados da OS'!$D$8=Parâmetros!$B$6,"Indicativa",
IF('Dados da OS'!$D$8=Parâmetros!$B$5,"PFS","")))</f>
        <v/>
      </c>
      <c r="M413" s="57">
        <f>IFERROR(VLOOKUP(C413,'Fatores de Impacto e INMs'!$A$3:$D$32,3,0),1)</f>
        <v>1</v>
      </c>
      <c r="N413" s="57">
        <f>IFERROR(VLOOKUP(C413,'Fatores de Impacto e INMs'!$A$3:$E$32,5,0),1)</f>
        <v>1</v>
      </c>
      <c r="O413" s="63" t="str">
        <f xml:space="preserve">
IF(OR('Dados da OS'!$D$8="Selecione o tipo da contagem",ISBLANK('Dados da OS'!$D$8),B413="INM",B413="N/A",ISBLANK(B413),ISBLANK(C413),N413="VF"),"-",
   IF('Dados da OS'!$D$8=Parâmetros!$B$3,
      IF(OR(ISBLANK(D413),ISBLANK(F413)),"-",
         IF(L413="L","Baixa",IF(L413="A","Média",IF(L413="H","Alta","-")))),
      IF('Dados da OS'!$D$8=Parâmetros!$B$4,
         IF(OR(B413="ALI",B413="AIE"),"Baixa",IF(OR(B413="EE",B413="SE",B413="CE"),"Média","-")),
         IF(OR('Dados da OS'!$D$8=Parâmetros!$B$5,'Dados da OS'!$D$8=Parâmetros!$B$6),"-"))))</f>
        <v>-</v>
      </c>
      <c r="P413" s="59" t="str">
        <f xml:space="preserve">
IF(OR(ISBLANK(B413),ISBLANK(C413),B413="N/A",ISBLANK('Dados da OS'!$D$8)),"",
   IF(OR('Dados da OS'!$D$8=Parâmetros!$B$3,'Dados da OS'!$D$8=Parâmetros!$B$4),
      IF(OR(AND(B413="INM",N413&lt;&gt;"VF"),AND(N413="VF",B413&lt;&gt;"INM")),"",
        IF(AND(B413="INM",N413="VF"),IF(ISBLANK(H413),"",M413*H413),
        IF('Dados da OS'!$D$8=Parâmetros!$B$4,
           IF(OR(B413="CE",B413="EE"),4,IF(B413="SE",5,IF(B413="ALI",7,IF(B413="AIE",5,"")))),
        IF('Dados da OS'!$D$8=Parâmetros!$B$3,
           IF(OR(ISBLANK(D413),ISBLANK(F413)),"",
              IF(B413="ALI",IF(L413="L",7,IF(L413="A",10,15)),
                 IF(B413="AIE",IF(L413="L",5,IF(L413="A",7,10)),
                    IF(B413="SE",IF(L413="L",4,IF(L413="A",5,7)),
                       IF(OR(B413="EE",B413="CE"),IF(L413="L",3,IF(L413="A",4,6)),""))))))))),
   IF('Dados da OS'!$D$8=Parâmetros!$B$5,
      IF(OR(AND(B413="INM",N413&lt;&gt;"VF"),AND(N413="VF",B413&lt;&gt;"INM")),"",
         IF(B413="INM",IF(N413="VF",M413*H413,""),
            IF(B413="PE",4.6,
            IF(B413="AL",7,"")))),
   IF('Dados da OS'!$D$8=Parâmetros!$B$6,
      IF(B413="ALI",35,IF(B413="AIE",15,"")),""))
    )
)</f>
        <v/>
      </c>
      <c r="Q413" s="60" t="str">
        <f t="shared" si="43"/>
        <v/>
      </c>
      <c r="R413" s="61"/>
      <c r="S413" s="62"/>
      <c r="T413" s="80" t="s">
        <v>21</v>
      </c>
      <c r="U413" s="81"/>
      <c r="V413" s="99"/>
      <c r="W413" s="55"/>
      <c r="X413" s="55"/>
      <c r="Y413" s="56"/>
      <c r="Z413" s="55"/>
      <c r="AA413" s="56"/>
      <c r="AB413" s="55"/>
      <c r="AC413" s="57" t="str">
        <f t="shared" si="44"/>
        <v/>
      </c>
      <c r="AD413" s="57" t="str">
        <f t="shared" si="45"/>
        <v/>
      </c>
      <c r="AE413" s="57" t="str">
        <f xml:space="preserve">
IF(OR('Dados da OS'!$D$8=Parâmetros!$B$3,'Dados da OS'!$D$8=Parâmetros!$B$4),
  IF(OR(ISBLANK(X413),ISBLANK(Z413)),
     IF(OR(V413="ALI",V413="AIE"),"L",IF(ISBLANK(V413),"","A")),
     IF(V413="EE",IF(Z413&gt;=3,IF(X413&gt;=5,"H","A"),
     IF(Z413&gt;=2,IF(X413&gt;=16,"H",IF(X413&lt;=4,"L","A")),IF(X413&lt;=15,"L","A"))),
     IF(OR(V413="SE",V413="CE"),IF(Z413&gt;=4,IF(X413&gt;=6,"H","A"),IF(Z413&gt;=2,IF(X413&gt;=20,"H",IF(X413&lt;=5,"L","A")),IF(X413&lt;=19,"L","A"))),
     IF(OR(V413="ALI",V413="AIE"),IF(Z413&gt;=6,IF(X413&gt;=20,"H","A"),IF(Z413&gt;=2,IF(X413&gt;=51,"H",IF(X413&lt;=19,"L","A")),IF(X413&lt;=50,"L","A"))))))),
IF('Dados da OS'!$D$8=Parâmetros!$B$6,"Indicativa",
IF('Dados da OS'!$D$8=Parâmetros!$B$5,"PFS","")))</f>
        <v/>
      </c>
      <c r="AF413" s="57">
        <f>IFERROR(VLOOKUP(W413,'Fatores de Impacto e INMs'!$A$3:$D$32,3,0),1)</f>
        <v>1</v>
      </c>
      <c r="AG413" s="57">
        <f>IFERROR(VLOOKUP(W413,'Fatores de Impacto e INMs'!$A$3:$E$32,5,0),1)</f>
        <v>1</v>
      </c>
      <c r="AH413" s="82" t="str">
        <f xml:space="preserve">
IF(OR('Dados da OS'!$D$8="Selecione o tipo da contagem",ISBLANK('Dados da OS'!$D$8),V413="INM",V413="N/A",ISBLANK(V413),ISBLANK(W413),AG413="VF"),"-",
   IF('Dados da OS'!$D$8=Parâmetros!$B$3,
      IF(OR(ISBLANK(X413),ISBLANK(Z413)),"-",
         IF(AE413="L","Baixa",IF(AE413="A","Média",IF(AE413="H","Alta","-")))),
      IF('Dados da OS'!$D$8=Parâmetros!$B$4,
         IF(OR(V413="ALI",V413="AIE"),"Baixa",IF(OR(V413="EE",V413="SE",V413="CE"),"Média","-")),
         IF(OR('Dados da OS'!$D$8=Parâmetros!$B$5,'Dados da OS'!$D$8=Parâmetros!$B$6),"-"))))</f>
        <v>-</v>
      </c>
      <c r="AI413" s="83" t="str">
        <f xml:space="preserve">
IF(OR(ISBLANK(V413),ISBLANK(U413),ISBLANK(W413),V413="N/A",ISBLANK('Dados da OS'!$D$8)),"",
   IF(OR('Dados da OS'!$D$8=Parâmetros!$B$3,'Dados da OS'!$D$8=Parâmetros!$B$4),
      IF(OR(AND(V413="INM",AG413&lt;&gt;"VF"),AND(AG413="VF",V413&lt;&gt;"INM")),"",
        IF(AND(V413="INM",AG413="VF"),IF(ISBLANK(AB413),"",AF413*AB413),
        IF('Dados da OS'!$D$8=Parâmetros!$B$4,
           IF(OR(V413="CE",V413="EE"),4,IF(V413="SE",5,IF(V413="ALI",7,IF(V413="AIE",5,"")))),
        IF('Dados da OS'!$D$8=Parâmetros!$B$3,
           IF(OR(ISBLANK(X413),ISBLANK(Z413)),"",
              IF(V413="ALI",IF(AE413="L",7,IF(AE413="A",10,15)),
                 IF(V413="AIE",IF(AE413="L",5,IF(AE413="A",7,10)),
                    IF(V413="SE",IF(AE413="L",4,IF(AE413="A",5,7)),
                       IF(OR(V413="EE",V413="CE"),IF(AE413="L",3,IF(AE413="A",4,6)),""))))))))),
   IF('Dados da OS'!$D$8=Parâmetros!$B$5,
      IF(OR(AND(V413="INM",AG413&lt;&gt;"VF"),AND(AG413="VF",V413&lt;&gt;"INM")),"",
         IF(V413="INM",IF(AG413="VF",AF413*AB413,""),
            IF(V413="PE",4.6,
            IF(V413="AL",7,"")))),
   IF('Dados da OS'!$D$8=Parâmetros!$B$6,
      IF(V413="ALI",35,IF(V413="AIE",15,"")),""))
    )
)</f>
        <v/>
      </c>
      <c r="AJ413" s="82" t="str">
        <f t="shared" si="46"/>
        <v/>
      </c>
      <c r="AK413" s="84"/>
      <c r="AL413" s="85" t="s">
        <v>21</v>
      </c>
      <c r="AM413" s="86"/>
      <c r="AN413" s="85"/>
      <c r="AO413" s="87"/>
      <c r="AP413" s="85"/>
      <c r="AQ413" s="86"/>
      <c r="AR413" s="85"/>
    </row>
    <row r="414" spans="1:44" ht="15.75" customHeight="1">
      <c r="A414" s="54"/>
      <c r="B414" s="100"/>
      <c r="C414" s="55"/>
      <c r="D414" s="55"/>
      <c r="E414" s="56"/>
      <c r="F414" s="55"/>
      <c r="G414" s="56"/>
      <c r="H414" s="55"/>
      <c r="I414" s="64"/>
      <c r="J414" s="57" t="str">
        <f t="shared" si="41"/>
        <v/>
      </c>
      <c r="K414" s="57" t="str">
        <f t="shared" si="42"/>
        <v/>
      </c>
      <c r="L414" s="57" t="str">
        <f xml:space="preserve">
IF(OR('Dados da OS'!$D$8=Parâmetros!$B$3,'Dados da OS'!$D$8=Parâmetros!$B$4),
  IF(OR(ISBLANK(D414),ISBLANK(F414)),
     IF(OR(B414="ALI",B414="AIE"),"L",IF(ISBLANK(B414),"","A")),
     IF(B414="EE",IF(F414&gt;=3,IF(D414&gt;=5,"H","A"),
     IF(F414&gt;=2,IF(D414&gt;=16,"H",IF(D414&lt;=4,"L","A")),IF(D414&lt;=15,"L","A"))),
     IF(OR(B414="SE",B414="CE"),IF(F414&gt;=4,IF(D414&gt;=6,"H","A"),IF(F414&gt;=2,IF(D414&gt;=20,"H",IF(D414&lt;=5,"L","A")),IF(D414&lt;=19,"L","A"))),
     IF(OR(B414="ALI",B414="AIE"),IF(F414&gt;=6,IF(D414&gt;=20,"H","A"),IF(F414&gt;=2,IF(D414&gt;=51,"H",IF(D414&lt;=19,"L","A")),IF(D414&lt;=50,"L","A"))))))),
IF('Dados da OS'!$D$8=Parâmetros!$B$6,"Indicativa",
IF('Dados da OS'!$D$8=Parâmetros!$B$5,"PFS","")))</f>
        <v/>
      </c>
      <c r="M414" s="57">
        <f>IFERROR(VLOOKUP(C414,'Fatores de Impacto e INMs'!$A$3:$D$32,3,0),1)</f>
        <v>1</v>
      </c>
      <c r="N414" s="57">
        <f>IFERROR(VLOOKUP(C414,'Fatores de Impacto e INMs'!$A$3:$E$32,5,0),1)</f>
        <v>1</v>
      </c>
      <c r="O414" s="63" t="str">
        <f xml:space="preserve">
IF(OR('Dados da OS'!$D$8="Selecione o tipo da contagem",ISBLANK('Dados da OS'!$D$8),B414="INM",B414="N/A",ISBLANK(B414),ISBLANK(C414),N414="VF"),"-",
   IF('Dados da OS'!$D$8=Parâmetros!$B$3,
      IF(OR(ISBLANK(D414),ISBLANK(F414)),"-",
         IF(L414="L","Baixa",IF(L414="A","Média",IF(L414="H","Alta","-")))),
      IF('Dados da OS'!$D$8=Parâmetros!$B$4,
         IF(OR(B414="ALI",B414="AIE"),"Baixa",IF(OR(B414="EE",B414="SE",B414="CE"),"Média","-")),
         IF(OR('Dados da OS'!$D$8=Parâmetros!$B$5,'Dados da OS'!$D$8=Parâmetros!$B$6),"-"))))</f>
        <v>-</v>
      </c>
      <c r="P414" s="59" t="str">
        <f xml:space="preserve">
IF(OR(ISBLANK(B414),ISBLANK(C414),B414="N/A",ISBLANK('Dados da OS'!$D$8)),"",
   IF(OR('Dados da OS'!$D$8=Parâmetros!$B$3,'Dados da OS'!$D$8=Parâmetros!$B$4),
      IF(OR(AND(B414="INM",N414&lt;&gt;"VF"),AND(N414="VF",B414&lt;&gt;"INM")),"",
        IF(AND(B414="INM",N414="VF"),IF(ISBLANK(H414),"",M414*H414),
        IF('Dados da OS'!$D$8=Parâmetros!$B$4,
           IF(OR(B414="CE",B414="EE"),4,IF(B414="SE",5,IF(B414="ALI",7,IF(B414="AIE",5,"")))),
        IF('Dados da OS'!$D$8=Parâmetros!$B$3,
           IF(OR(ISBLANK(D414),ISBLANK(F414)),"",
              IF(B414="ALI",IF(L414="L",7,IF(L414="A",10,15)),
                 IF(B414="AIE",IF(L414="L",5,IF(L414="A",7,10)),
                    IF(B414="SE",IF(L414="L",4,IF(L414="A",5,7)),
                       IF(OR(B414="EE",B414="CE"),IF(L414="L",3,IF(L414="A",4,6)),""))))))))),
   IF('Dados da OS'!$D$8=Parâmetros!$B$5,
      IF(OR(AND(B414="INM",N414&lt;&gt;"VF"),AND(N414="VF",B414&lt;&gt;"INM")),"",
         IF(B414="INM",IF(N414="VF",M414*H414,""),
            IF(B414="PE",4.6,
            IF(B414="AL",7,"")))),
   IF('Dados da OS'!$D$8=Parâmetros!$B$6,
      IF(B414="ALI",35,IF(B414="AIE",15,"")),""))
    )
)</f>
        <v/>
      </c>
      <c r="Q414" s="60" t="str">
        <f t="shared" si="43"/>
        <v/>
      </c>
      <c r="R414" s="61"/>
      <c r="S414" s="62"/>
      <c r="T414" s="80" t="s">
        <v>21</v>
      </c>
      <c r="U414" s="81"/>
      <c r="V414" s="99"/>
      <c r="W414" s="55"/>
      <c r="X414" s="55"/>
      <c r="Y414" s="56"/>
      <c r="Z414" s="55"/>
      <c r="AA414" s="56"/>
      <c r="AB414" s="55"/>
      <c r="AC414" s="57" t="str">
        <f t="shared" si="44"/>
        <v/>
      </c>
      <c r="AD414" s="57" t="str">
        <f t="shared" si="45"/>
        <v/>
      </c>
      <c r="AE414" s="57" t="str">
        <f xml:space="preserve">
IF(OR('Dados da OS'!$D$8=Parâmetros!$B$3,'Dados da OS'!$D$8=Parâmetros!$B$4),
  IF(OR(ISBLANK(X414),ISBLANK(Z414)),
     IF(OR(V414="ALI",V414="AIE"),"L",IF(ISBLANK(V414),"","A")),
     IF(V414="EE",IF(Z414&gt;=3,IF(X414&gt;=5,"H","A"),
     IF(Z414&gt;=2,IF(X414&gt;=16,"H",IF(X414&lt;=4,"L","A")),IF(X414&lt;=15,"L","A"))),
     IF(OR(V414="SE",V414="CE"),IF(Z414&gt;=4,IF(X414&gt;=6,"H","A"),IF(Z414&gt;=2,IF(X414&gt;=20,"H",IF(X414&lt;=5,"L","A")),IF(X414&lt;=19,"L","A"))),
     IF(OR(V414="ALI",V414="AIE"),IF(Z414&gt;=6,IF(X414&gt;=20,"H","A"),IF(Z414&gt;=2,IF(X414&gt;=51,"H",IF(X414&lt;=19,"L","A")),IF(X414&lt;=50,"L","A"))))))),
IF('Dados da OS'!$D$8=Parâmetros!$B$6,"Indicativa",
IF('Dados da OS'!$D$8=Parâmetros!$B$5,"PFS","")))</f>
        <v/>
      </c>
      <c r="AF414" s="57">
        <f>IFERROR(VLOOKUP(W414,'Fatores de Impacto e INMs'!$A$3:$D$32,3,0),1)</f>
        <v>1</v>
      </c>
      <c r="AG414" s="57">
        <f>IFERROR(VLOOKUP(W414,'Fatores de Impacto e INMs'!$A$3:$E$32,5,0),1)</f>
        <v>1</v>
      </c>
      <c r="AH414" s="82" t="str">
        <f xml:space="preserve">
IF(OR('Dados da OS'!$D$8="Selecione o tipo da contagem",ISBLANK('Dados da OS'!$D$8),V414="INM",V414="N/A",ISBLANK(V414),ISBLANK(W414),AG414="VF"),"-",
   IF('Dados da OS'!$D$8=Parâmetros!$B$3,
      IF(OR(ISBLANK(X414),ISBLANK(Z414)),"-",
         IF(AE414="L","Baixa",IF(AE414="A","Média",IF(AE414="H","Alta","-")))),
      IF('Dados da OS'!$D$8=Parâmetros!$B$4,
         IF(OR(V414="ALI",V414="AIE"),"Baixa",IF(OR(V414="EE",V414="SE",V414="CE"),"Média","-")),
         IF(OR('Dados da OS'!$D$8=Parâmetros!$B$5,'Dados da OS'!$D$8=Parâmetros!$B$6),"-"))))</f>
        <v>-</v>
      </c>
      <c r="AI414" s="83" t="str">
        <f xml:space="preserve">
IF(OR(ISBLANK(V414),ISBLANK(U414),ISBLANK(W414),V414="N/A",ISBLANK('Dados da OS'!$D$8)),"",
   IF(OR('Dados da OS'!$D$8=Parâmetros!$B$3,'Dados da OS'!$D$8=Parâmetros!$B$4),
      IF(OR(AND(V414="INM",AG414&lt;&gt;"VF"),AND(AG414="VF",V414&lt;&gt;"INM")),"",
        IF(AND(V414="INM",AG414="VF"),IF(ISBLANK(AB414),"",AF414*AB414),
        IF('Dados da OS'!$D$8=Parâmetros!$B$4,
           IF(OR(V414="CE",V414="EE"),4,IF(V414="SE",5,IF(V414="ALI",7,IF(V414="AIE",5,"")))),
        IF('Dados da OS'!$D$8=Parâmetros!$B$3,
           IF(OR(ISBLANK(X414),ISBLANK(Z414)),"",
              IF(V414="ALI",IF(AE414="L",7,IF(AE414="A",10,15)),
                 IF(V414="AIE",IF(AE414="L",5,IF(AE414="A",7,10)),
                    IF(V414="SE",IF(AE414="L",4,IF(AE414="A",5,7)),
                       IF(OR(V414="EE",V414="CE"),IF(AE414="L",3,IF(AE414="A",4,6)),""))))))))),
   IF('Dados da OS'!$D$8=Parâmetros!$B$5,
      IF(OR(AND(V414="INM",AG414&lt;&gt;"VF"),AND(AG414="VF",V414&lt;&gt;"INM")),"",
         IF(V414="INM",IF(AG414="VF",AF414*AB414,""),
            IF(V414="PE",4.6,
            IF(V414="AL",7,"")))),
   IF('Dados da OS'!$D$8=Parâmetros!$B$6,
      IF(V414="ALI",35,IF(V414="AIE",15,"")),""))
    )
)</f>
        <v/>
      </c>
      <c r="AJ414" s="82" t="str">
        <f t="shared" si="46"/>
        <v/>
      </c>
      <c r="AK414" s="84"/>
      <c r="AL414" s="85" t="s">
        <v>21</v>
      </c>
      <c r="AM414" s="86"/>
      <c r="AN414" s="85"/>
      <c r="AO414" s="87"/>
      <c r="AP414" s="85"/>
      <c r="AQ414" s="86"/>
      <c r="AR414" s="85"/>
    </row>
    <row r="415" spans="1:44" ht="15.75" customHeight="1">
      <c r="A415" s="54"/>
      <c r="B415" s="100"/>
      <c r="C415" s="55"/>
      <c r="D415" s="55"/>
      <c r="E415" s="56"/>
      <c r="F415" s="55"/>
      <c r="G415" s="56"/>
      <c r="H415" s="55"/>
      <c r="I415" s="64"/>
      <c r="J415" s="57" t="str">
        <f t="shared" si="41"/>
        <v/>
      </c>
      <c r="K415" s="57" t="str">
        <f t="shared" si="42"/>
        <v/>
      </c>
      <c r="L415" s="57" t="str">
        <f xml:space="preserve">
IF(OR('Dados da OS'!$D$8=Parâmetros!$B$3,'Dados da OS'!$D$8=Parâmetros!$B$4),
  IF(OR(ISBLANK(D415),ISBLANK(F415)),
     IF(OR(B415="ALI",B415="AIE"),"L",IF(ISBLANK(B415),"","A")),
     IF(B415="EE",IF(F415&gt;=3,IF(D415&gt;=5,"H","A"),
     IF(F415&gt;=2,IF(D415&gt;=16,"H",IF(D415&lt;=4,"L","A")),IF(D415&lt;=15,"L","A"))),
     IF(OR(B415="SE",B415="CE"),IF(F415&gt;=4,IF(D415&gt;=6,"H","A"),IF(F415&gt;=2,IF(D415&gt;=20,"H",IF(D415&lt;=5,"L","A")),IF(D415&lt;=19,"L","A"))),
     IF(OR(B415="ALI",B415="AIE"),IF(F415&gt;=6,IF(D415&gt;=20,"H","A"),IF(F415&gt;=2,IF(D415&gt;=51,"H",IF(D415&lt;=19,"L","A")),IF(D415&lt;=50,"L","A"))))))),
IF('Dados da OS'!$D$8=Parâmetros!$B$6,"Indicativa",
IF('Dados da OS'!$D$8=Parâmetros!$B$5,"PFS","")))</f>
        <v/>
      </c>
      <c r="M415" s="57">
        <f>IFERROR(VLOOKUP(C415,'Fatores de Impacto e INMs'!$A$3:$D$32,3,0),1)</f>
        <v>1</v>
      </c>
      <c r="N415" s="57">
        <f>IFERROR(VLOOKUP(C415,'Fatores de Impacto e INMs'!$A$3:$E$32,5,0),1)</f>
        <v>1</v>
      </c>
      <c r="O415" s="63" t="str">
        <f xml:space="preserve">
IF(OR('Dados da OS'!$D$8="Selecione o tipo da contagem",ISBLANK('Dados da OS'!$D$8),B415="INM",B415="N/A",ISBLANK(B415),ISBLANK(C415),N415="VF"),"-",
   IF('Dados da OS'!$D$8=Parâmetros!$B$3,
      IF(OR(ISBLANK(D415),ISBLANK(F415)),"-",
         IF(L415="L","Baixa",IF(L415="A","Média",IF(L415="H","Alta","-")))),
      IF('Dados da OS'!$D$8=Parâmetros!$B$4,
         IF(OR(B415="ALI",B415="AIE"),"Baixa",IF(OR(B415="EE",B415="SE",B415="CE"),"Média","-")),
         IF(OR('Dados da OS'!$D$8=Parâmetros!$B$5,'Dados da OS'!$D$8=Parâmetros!$B$6),"-"))))</f>
        <v>-</v>
      </c>
      <c r="P415" s="59" t="str">
        <f xml:space="preserve">
IF(OR(ISBLANK(B415),ISBLANK(C415),B415="N/A",ISBLANK('Dados da OS'!$D$8)),"",
   IF(OR('Dados da OS'!$D$8=Parâmetros!$B$3,'Dados da OS'!$D$8=Parâmetros!$B$4),
      IF(OR(AND(B415="INM",N415&lt;&gt;"VF"),AND(N415="VF",B415&lt;&gt;"INM")),"",
        IF(AND(B415="INM",N415="VF"),IF(ISBLANK(H415),"",M415*H415),
        IF('Dados da OS'!$D$8=Parâmetros!$B$4,
           IF(OR(B415="CE",B415="EE"),4,IF(B415="SE",5,IF(B415="ALI",7,IF(B415="AIE",5,"")))),
        IF('Dados da OS'!$D$8=Parâmetros!$B$3,
           IF(OR(ISBLANK(D415),ISBLANK(F415)),"",
              IF(B415="ALI",IF(L415="L",7,IF(L415="A",10,15)),
                 IF(B415="AIE",IF(L415="L",5,IF(L415="A",7,10)),
                    IF(B415="SE",IF(L415="L",4,IF(L415="A",5,7)),
                       IF(OR(B415="EE",B415="CE"),IF(L415="L",3,IF(L415="A",4,6)),""))))))))),
   IF('Dados da OS'!$D$8=Parâmetros!$B$5,
      IF(OR(AND(B415="INM",N415&lt;&gt;"VF"),AND(N415="VF",B415&lt;&gt;"INM")),"",
         IF(B415="INM",IF(N415="VF",M415*H415,""),
            IF(B415="PE",4.6,
            IF(B415="AL",7,"")))),
   IF('Dados da OS'!$D$8=Parâmetros!$B$6,
      IF(B415="ALI",35,IF(B415="AIE",15,"")),""))
    )
)</f>
        <v/>
      </c>
      <c r="Q415" s="60" t="str">
        <f t="shared" si="43"/>
        <v/>
      </c>
      <c r="R415" s="61"/>
      <c r="S415" s="62"/>
      <c r="T415" s="80" t="s">
        <v>21</v>
      </c>
      <c r="U415" s="81"/>
      <c r="V415" s="99"/>
      <c r="W415" s="55"/>
      <c r="X415" s="55"/>
      <c r="Y415" s="56"/>
      <c r="Z415" s="55"/>
      <c r="AA415" s="56"/>
      <c r="AB415" s="55"/>
      <c r="AC415" s="57" t="str">
        <f t="shared" si="44"/>
        <v/>
      </c>
      <c r="AD415" s="57" t="str">
        <f t="shared" si="45"/>
        <v/>
      </c>
      <c r="AE415" s="57" t="str">
        <f xml:space="preserve">
IF(OR('Dados da OS'!$D$8=Parâmetros!$B$3,'Dados da OS'!$D$8=Parâmetros!$B$4),
  IF(OR(ISBLANK(X415),ISBLANK(Z415)),
     IF(OR(V415="ALI",V415="AIE"),"L",IF(ISBLANK(V415),"","A")),
     IF(V415="EE",IF(Z415&gt;=3,IF(X415&gt;=5,"H","A"),
     IF(Z415&gt;=2,IF(X415&gt;=16,"H",IF(X415&lt;=4,"L","A")),IF(X415&lt;=15,"L","A"))),
     IF(OR(V415="SE",V415="CE"),IF(Z415&gt;=4,IF(X415&gt;=6,"H","A"),IF(Z415&gt;=2,IF(X415&gt;=20,"H",IF(X415&lt;=5,"L","A")),IF(X415&lt;=19,"L","A"))),
     IF(OR(V415="ALI",V415="AIE"),IF(Z415&gt;=6,IF(X415&gt;=20,"H","A"),IF(Z415&gt;=2,IF(X415&gt;=51,"H",IF(X415&lt;=19,"L","A")),IF(X415&lt;=50,"L","A"))))))),
IF('Dados da OS'!$D$8=Parâmetros!$B$6,"Indicativa",
IF('Dados da OS'!$D$8=Parâmetros!$B$5,"PFS","")))</f>
        <v/>
      </c>
      <c r="AF415" s="57">
        <f>IFERROR(VLOOKUP(W415,'Fatores de Impacto e INMs'!$A$3:$D$32,3,0),1)</f>
        <v>1</v>
      </c>
      <c r="AG415" s="57">
        <f>IFERROR(VLOOKUP(W415,'Fatores de Impacto e INMs'!$A$3:$E$32,5,0),1)</f>
        <v>1</v>
      </c>
      <c r="AH415" s="82" t="str">
        <f xml:space="preserve">
IF(OR('Dados da OS'!$D$8="Selecione o tipo da contagem",ISBLANK('Dados da OS'!$D$8),V415="INM",V415="N/A",ISBLANK(V415),ISBLANK(W415),AG415="VF"),"-",
   IF('Dados da OS'!$D$8=Parâmetros!$B$3,
      IF(OR(ISBLANK(X415),ISBLANK(Z415)),"-",
         IF(AE415="L","Baixa",IF(AE415="A","Média",IF(AE415="H","Alta","-")))),
      IF('Dados da OS'!$D$8=Parâmetros!$B$4,
         IF(OR(V415="ALI",V415="AIE"),"Baixa",IF(OR(V415="EE",V415="SE",V415="CE"),"Média","-")),
         IF(OR('Dados da OS'!$D$8=Parâmetros!$B$5,'Dados da OS'!$D$8=Parâmetros!$B$6),"-"))))</f>
        <v>-</v>
      </c>
      <c r="AI415" s="83" t="str">
        <f xml:space="preserve">
IF(OR(ISBLANK(V415),ISBLANK(U415),ISBLANK(W415),V415="N/A",ISBLANK('Dados da OS'!$D$8)),"",
   IF(OR('Dados da OS'!$D$8=Parâmetros!$B$3,'Dados da OS'!$D$8=Parâmetros!$B$4),
      IF(OR(AND(V415="INM",AG415&lt;&gt;"VF"),AND(AG415="VF",V415&lt;&gt;"INM")),"",
        IF(AND(V415="INM",AG415="VF"),IF(ISBLANK(AB415),"",AF415*AB415),
        IF('Dados da OS'!$D$8=Parâmetros!$B$4,
           IF(OR(V415="CE",V415="EE"),4,IF(V415="SE",5,IF(V415="ALI",7,IF(V415="AIE",5,"")))),
        IF('Dados da OS'!$D$8=Parâmetros!$B$3,
           IF(OR(ISBLANK(X415),ISBLANK(Z415)),"",
              IF(V415="ALI",IF(AE415="L",7,IF(AE415="A",10,15)),
                 IF(V415="AIE",IF(AE415="L",5,IF(AE415="A",7,10)),
                    IF(V415="SE",IF(AE415="L",4,IF(AE415="A",5,7)),
                       IF(OR(V415="EE",V415="CE"),IF(AE415="L",3,IF(AE415="A",4,6)),""))))))))),
   IF('Dados da OS'!$D$8=Parâmetros!$B$5,
      IF(OR(AND(V415="INM",AG415&lt;&gt;"VF"),AND(AG415="VF",V415&lt;&gt;"INM")),"",
         IF(V415="INM",IF(AG415="VF",AF415*AB415,""),
            IF(V415="PE",4.6,
            IF(V415="AL",7,"")))),
   IF('Dados da OS'!$D$8=Parâmetros!$B$6,
      IF(V415="ALI",35,IF(V415="AIE",15,"")),""))
    )
)</f>
        <v/>
      </c>
      <c r="AJ415" s="82" t="str">
        <f t="shared" si="46"/>
        <v/>
      </c>
      <c r="AK415" s="84"/>
      <c r="AL415" s="85" t="s">
        <v>21</v>
      </c>
      <c r="AM415" s="86"/>
      <c r="AN415" s="85"/>
      <c r="AO415" s="87"/>
      <c r="AP415" s="85"/>
      <c r="AQ415" s="86"/>
      <c r="AR415" s="85"/>
    </row>
    <row r="416" spans="1:44" ht="15.75" customHeight="1">
      <c r="A416" s="54"/>
      <c r="B416" s="100"/>
      <c r="C416" s="55"/>
      <c r="D416" s="55"/>
      <c r="E416" s="56"/>
      <c r="F416" s="55"/>
      <c r="G416" s="56"/>
      <c r="H416" s="55"/>
      <c r="I416" s="64"/>
      <c r="J416" s="57" t="str">
        <f t="shared" si="41"/>
        <v/>
      </c>
      <c r="K416" s="57" t="str">
        <f t="shared" si="42"/>
        <v/>
      </c>
      <c r="L416" s="57" t="str">
        <f xml:space="preserve">
IF(OR('Dados da OS'!$D$8=Parâmetros!$B$3,'Dados da OS'!$D$8=Parâmetros!$B$4),
  IF(OR(ISBLANK(D416),ISBLANK(F416)),
     IF(OR(B416="ALI",B416="AIE"),"L",IF(ISBLANK(B416),"","A")),
     IF(B416="EE",IF(F416&gt;=3,IF(D416&gt;=5,"H","A"),
     IF(F416&gt;=2,IF(D416&gt;=16,"H",IF(D416&lt;=4,"L","A")),IF(D416&lt;=15,"L","A"))),
     IF(OR(B416="SE",B416="CE"),IF(F416&gt;=4,IF(D416&gt;=6,"H","A"),IF(F416&gt;=2,IF(D416&gt;=20,"H",IF(D416&lt;=5,"L","A")),IF(D416&lt;=19,"L","A"))),
     IF(OR(B416="ALI",B416="AIE"),IF(F416&gt;=6,IF(D416&gt;=20,"H","A"),IF(F416&gt;=2,IF(D416&gt;=51,"H",IF(D416&lt;=19,"L","A")),IF(D416&lt;=50,"L","A"))))))),
IF('Dados da OS'!$D$8=Parâmetros!$B$6,"Indicativa",
IF('Dados da OS'!$D$8=Parâmetros!$B$5,"PFS","")))</f>
        <v/>
      </c>
      <c r="M416" s="57">
        <f>IFERROR(VLOOKUP(C416,'Fatores de Impacto e INMs'!$A$3:$D$32,3,0),1)</f>
        <v>1</v>
      </c>
      <c r="N416" s="57">
        <f>IFERROR(VLOOKUP(C416,'Fatores de Impacto e INMs'!$A$3:$E$32,5,0),1)</f>
        <v>1</v>
      </c>
      <c r="O416" s="63" t="str">
        <f xml:space="preserve">
IF(OR('Dados da OS'!$D$8="Selecione o tipo da contagem",ISBLANK('Dados da OS'!$D$8),B416="INM",B416="N/A",ISBLANK(B416),ISBLANK(C416),N416="VF"),"-",
   IF('Dados da OS'!$D$8=Parâmetros!$B$3,
      IF(OR(ISBLANK(D416),ISBLANK(F416)),"-",
         IF(L416="L","Baixa",IF(L416="A","Média",IF(L416="H","Alta","-")))),
      IF('Dados da OS'!$D$8=Parâmetros!$B$4,
         IF(OR(B416="ALI",B416="AIE"),"Baixa",IF(OR(B416="EE",B416="SE",B416="CE"),"Média","-")),
         IF(OR('Dados da OS'!$D$8=Parâmetros!$B$5,'Dados da OS'!$D$8=Parâmetros!$B$6),"-"))))</f>
        <v>-</v>
      </c>
      <c r="P416" s="59" t="str">
        <f xml:space="preserve">
IF(OR(ISBLANK(B416),ISBLANK(C416),B416="N/A",ISBLANK('Dados da OS'!$D$8)),"",
   IF(OR('Dados da OS'!$D$8=Parâmetros!$B$3,'Dados da OS'!$D$8=Parâmetros!$B$4),
      IF(OR(AND(B416="INM",N416&lt;&gt;"VF"),AND(N416="VF",B416&lt;&gt;"INM")),"",
        IF(AND(B416="INM",N416="VF"),IF(ISBLANK(H416),"",M416*H416),
        IF('Dados da OS'!$D$8=Parâmetros!$B$4,
           IF(OR(B416="CE",B416="EE"),4,IF(B416="SE",5,IF(B416="ALI",7,IF(B416="AIE",5,"")))),
        IF('Dados da OS'!$D$8=Parâmetros!$B$3,
           IF(OR(ISBLANK(D416),ISBLANK(F416)),"",
              IF(B416="ALI",IF(L416="L",7,IF(L416="A",10,15)),
                 IF(B416="AIE",IF(L416="L",5,IF(L416="A",7,10)),
                    IF(B416="SE",IF(L416="L",4,IF(L416="A",5,7)),
                       IF(OR(B416="EE",B416="CE"),IF(L416="L",3,IF(L416="A",4,6)),""))))))))),
   IF('Dados da OS'!$D$8=Parâmetros!$B$5,
      IF(OR(AND(B416="INM",N416&lt;&gt;"VF"),AND(N416="VF",B416&lt;&gt;"INM")),"",
         IF(B416="INM",IF(N416="VF",M416*H416,""),
            IF(B416="PE",4.6,
            IF(B416="AL",7,"")))),
   IF('Dados da OS'!$D$8=Parâmetros!$B$6,
      IF(B416="ALI",35,IF(B416="AIE",15,"")),""))
    )
)</f>
        <v/>
      </c>
      <c r="Q416" s="60" t="str">
        <f t="shared" si="43"/>
        <v/>
      </c>
      <c r="R416" s="61"/>
      <c r="S416" s="62"/>
      <c r="T416" s="80" t="s">
        <v>21</v>
      </c>
      <c r="U416" s="81"/>
      <c r="V416" s="99"/>
      <c r="W416" s="55"/>
      <c r="X416" s="55"/>
      <c r="Y416" s="56"/>
      <c r="Z416" s="55"/>
      <c r="AA416" s="56"/>
      <c r="AB416" s="55"/>
      <c r="AC416" s="57" t="str">
        <f t="shared" si="44"/>
        <v/>
      </c>
      <c r="AD416" s="57" t="str">
        <f t="shared" si="45"/>
        <v/>
      </c>
      <c r="AE416" s="57" t="str">
        <f xml:space="preserve">
IF(OR('Dados da OS'!$D$8=Parâmetros!$B$3,'Dados da OS'!$D$8=Parâmetros!$B$4),
  IF(OR(ISBLANK(X416),ISBLANK(Z416)),
     IF(OR(V416="ALI",V416="AIE"),"L",IF(ISBLANK(V416),"","A")),
     IF(V416="EE",IF(Z416&gt;=3,IF(X416&gt;=5,"H","A"),
     IF(Z416&gt;=2,IF(X416&gt;=16,"H",IF(X416&lt;=4,"L","A")),IF(X416&lt;=15,"L","A"))),
     IF(OR(V416="SE",V416="CE"),IF(Z416&gt;=4,IF(X416&gt;=6,"H","A"),IF(Z416&gt;=2,IF(X416&gt;=20,"H",IF(X416&lt;=5,"L","A")),IF(X416&lt;=19,"L","A"))),
     IF(OR(V416="ALI",V416="AIE"),IF(Z416&gt;=6,IF(X416&gt;=20,"H","A"),IF(Z416&gt;=2,IF(X416&gt;=51,"H",IF(X416&lt;=19,"L","A")),IF(X416&lt;=50,"L","A"))))))),
IF('Dados da OS'!$D$8=Parâmetros!$B$6,"Indicativa",
IF('Dados da OS'!$D$8=Parâmetros!$B$5,"PFS","")))</f>
        <v/>
      </c>
      <c r="AF416" s="57">
        <f>IFERROR(VLOOKUP(W416,'Fatores de Impacto e INMs'!$A$3:$D$32,3,0),1)</f>
        <v>1</v>
      </c>
      <c r="AG416" s="57">
        <f>IFERROR(VLOOKUP(W416,'Fatores de Impacto e INMs'!$A$3:$E$32,5,0),1)</f>
        <v>1</v>
      </c>
      <c r="AH416" s="82" t="str">
        <f xml:space="preserve">
IF(OR('Dados da OS'!$D$8="Selecione o tipo da contagem",ISBLANK('Dados da OS'!$D$8),V416="INM",V416="N/A",ISBLANK(V416),ISBLANK(W416),AG416="VF"),"-",
   IF('Dados da OS'!$D$8=Parâmetros!$B$3,
      IF(OR(ISBLANK(X416),ISBLANK(Z416)),"-",
         IF(AE416="L","Baixa",IF(AE416="A","Média",IF(AE416="H","Alta","-")))),
      IF('Dados da OS'!$D$8=Parâmetros!$B$4,
         IF(OR(V416="ALI",V416="AIE"),"Baixa",IF(OR(V416="EE",V416="SE",V416="CE"),"Média","-")),
         IF(OR('Dados da OS'!$D$8=Parâmetros!$B$5,'Dados da OS'!$D$8=Parâmetros!$B$6),"-"))))</f>
        <v>-</v>
      </c>
      <c r="AI416" s="83" t="str">
        <f xml:space="preserve">
IF(OR(ISBLANK(V416),ISBLANK(U416),ISBLANK(W416),V416="N/A",ISBLANK('Dados da OS'!$D$8)),"",
   IF(OR('Dados da OS'!$D$8=Parâmetros!$B$3,'Dados da OS'!$D$8=Parâmetros!$B$4),
      IF(OR(AND(V416="INM",AG416&lt;&gt;"VF"),AND(AG416="VF",V416&lt;&gt;"INM")),"",
        IF(AND(V416="INM",AG416="VF"),IF(ISBLANK(AB416),"",AF416*AB416),
        IF('Dados da OS'!$D$8=Parâmetros!$B$4,
           IF(OR(V416="CE",V416="EE"),4,IF(V416="SE",5,IF(V416="ALI",7,IF(V416="AIE",5,"")))),
        IF('Dados da OS'!$D$8=Parâmetros!$B$3,
           IF(OR(ISBLANK(X416),ISBLANK(Z416)),"",
              IF(V416="ALI",IF(AE416="L",7,IF(AE416="A",10,15)),
                 IF(V416="AIE",IF(AE416="L",5,IF(AE416="A",7,10)),
                    IF(V416="SE",IF(AE416="L",4,IF(AE416="A",5,7)),
                       IF(OR(V416="EE",V416="CE"),IF(AE416="L",3,IF(AE416="A",4,6)),""))))))))),
   IF('Dados da OS'!$D$8=Parâmetros!$B$5,
      IF(OR(AND(V416="INM",AG416&lt;&gt;"VF"),AND(AG416="VF",V416&lt;&gt;"INM")),"",
         IF(V416="INM",IF(AG416="VF",AF416*AB416,""),
            IF(V416="PE",4.6,
            IF(V416="AL",7,"")))),
   IF('Dados da OS'!$D$8=Parâmetros!$B$6,
      IF(V416="ALI",35,IF(V416="AIE",15,"")),""))
    )
)</f>
        <v/>
      </c>
      <c r="AJ416" s="82" t="str">
        <f t="shared" si="46"/>
        <v/>
      </c>
      <c r="AK416" s="84"/>
      <c r="AL416" s="85" t="s">
        <v>21</v>
      </c>
      <c r="AM416" s="86"/>
      <c r="AN416" s="85"/>
      <c r="AO416" s="87"/>
      <c r="AP416" s="85"/>
      <c r="AQ416" s="86"/>
      <c r="AR416" s="85"/>
    </row>
    <row r="417" spans="1:44" ht="15.75" customHeight="1">
      <c r="A417" s="54"/>
      <c r="B417" s="100"/>
      <c r="C417" s="55"/>
      <c r="D417" s="55"/>
      <c r="E417" s="56"/>
      <c r="F417" s="55"/>
      <c r="G417" s="56"/>
      <c r="H417" s="55"/>
      <c r="I417" s="64"/>
      <c r="J417" s="57" t="str">
        <f t="shared" si="41"/>
        <v/>
      </c>
      <c r="K417" s="57" t="str">
        <f t="shared" si="42"/>
        <v/>
      </c>
      <c r="L417" s="57" t="str">
        <f xml:space="preserve">
IF(OR('Dados da OS'!$D$8=Parâmetros!$B$3,'Dados da OS'!$D$8=Parâmetros!$B$4),
  IF(OR(ISBLANK(D417),ISBLANK(F417)),
     IF(OR(B417="ALI",B417="AIE"),"L",IF(ISBLANK(B417),"","A")),
     IF(B417="EE",IF(F417&gt;=3,IF(D417&gt;=5,"H","A"),
     IF(F417&gt;=2,IF(D417&gt;=16,"H",IF(D417&lt;=4,"L","A")),IF(D417&lt;=15,"L","A"))),
     IF(OR(B417="SE",B417="CE"),IF(F417&gt;=4,IF(D417&gt;=6,"H","A"),IF(F417&gt;=2,IF(D417&gt;=20,"H",IF(D417&lt;=5,"L","A")),IF(D417&lt;=19,"L","A"))),
     IF(OR(B417="ALI",B417="AIE"),IF(F417&gt;=6,IF(D417&gt;=20,"H","A"),IF(F417&gt;=2,IF(D417&gt;=51,"H",IF(D417&lt;=19,"L","A")),IF(D417&lt;=50,"L","A"))))))),
IF('Dados da OS'!$D$8=Parâmetros!$B$6,"Indicativa",
IF('Dados da OS'!$D$8=Parâmetros!$B$5,"PFS","")))</f>
        <v/>
      </c>
      <c r="M417" s="57">
        <f>IFERROR(VLOOKUP(C417,'Fatores de Impacto e INMs'!$A$3:$D$32,3,0),1)</f>
        <v>1</v>
      </c>
      <c r="N417" s="57">
        <f>IFERROR(VLOOKUP(C417,'Fatores de Impacto e INMs'!$A$3:$E$32,5,0),1)</f>
        <v>1</v>
      </c>
      <c r="O417" s="63" t="str">
        <f xml:space="preserve">
IF(OR('Dados da OS'!$D$8="Selecione o tipo da contagem",ISBLANK('Dados da OS'!$D$8),B417="INM",B417="N/A",ISBLANK(B417),ISBLANK(C417),N417="VF"),"-",
   IF('Dados da OS'!$D$8=Parâmetros!$B$3,
      IF(OR(ISBLANK(D417),ISBLANK(F417)),"-",
         IF(L417="L","Baixa",IF(L417="A","Média",IF(L417="H","Alta","-")))),
      IF('Dados da OS'!$D$8=Parâmetros!$B$4,
         IF(OR(B417="ALI",B417="AIE"),"Baixa",IF(OR(B417="EE",B417="SE",B417="CE"),"Média","-")),
         IF(OR('Dados da OS'!$D$8=Parâmetros!$B$5,'Dados da OS'!$D$8=Parâmetros!$B$6),"-"))))</f>
        <v>-</v>
      </c>
      <c r="P417" s="59" t="str">
        <f xml:space="preserve">
IF(OR(ISBLANK(B417),ISBLANK(C417),B417="N/A",ISBLANK('Dados da OS'!$D$8)),"",
   IF(OR('Dados da OS'!$D$8=Parâmetros!$B$3,'Dados da OS'!$D$8=Parâmetros!$B$4),
      IF(OR(AND(B417="INM",N417&lt;&gt;"VF"),AND(N417="VF",B417&lt;&gt;"INM")),"",
        IF(AND(B417="INM",N417="VF"),IF(ISBLANK(H417),"",M417*H417),
        IF('Dados da OS'!$D$8=Parâmetros!$B$4,
           IF(OR(B417="CE",B417="EE"),4,IF(B417="SE",5,IF(B417="ALI",7,IF(B417="AIE",5,"")))),
        IF('Dados da OS'!$D$8=Parâmetros!$B$3,
           IF(OR(ISBLANK(D417),ISBLANK(F417)),"",
              IF(B417="ALI",IF(L417="L",7,IF(L417="A",10,15)),
                 IF(B417="AIE",IF(L417="L",5,IF(L417="A",7,10)),
                    IF(B417="SE",IF(L417="L",4,IF(L417="A",5,7)),
                       IF(OR(B417="EE",B417="CE"),IF(L417="L",3,IF(L417="A",4,6)),""))))))))),
   IF('Dados da OS'!$D$8=Parâmetros!$B$5,
      IF(OR(AND(B417="INM",N417&lt;&gt;"VF"),AND(N417="VF",B417&lt;&gt;"INM")),"",
         IF(B417="INM",IF(N417="VF",M417*H417,""),
            IF(B417="PE",4.6,
            IF(B417="AL",7,"")))),
   IF('Dados da OS'!$D$8=Parâmetros!$B$6,
      IF(B417="ALI",35,IF(B417="AIE",15,"")),""))
    )
)</f>
        <v/>
      </c>
      <c r="Q417" s="60" t="str">
        <f t="shared" si="43"/>
        <v/>
      </c>
      <c r="R417" s="61"/>
      <c r="S417" s="62"/>
      <c r="T417" s="80" t="s">
        <v>21</v>
      </c>
      <c r="U417" s="81"/>
      <c r="V417" s="99"/>
      <c r="W417" s="55"/>
      <c r="X417" s="55"/>
      <c r="Y417" s="56"/>
      <c r="Z417" s="55"/>
      <c r="AA417" s="56"/>
      <c r="AB417" s="55"/>
      <c r="AC417" s="57" t="str">
        <f t="shared" si="44"/>
        <v/>
      </c>
      <c r="AD417" s="57" t="str">
        <f t="shared" si="45"/>
        <v/>
      </c>
      <c r="AE417" s="57" t="str">
        <f xml:space="preserve">
IF(OR('Dados da OS'!$D$8=Parâmetros!$B$3,'Dados da OS'!$D$8=Parâmetros!$B$4),
  IF(OR(ISBLANK(X417),ISBLANK(Z417)),
     IF(OR(V417="ALI",V417="AIE"),"L",IF(ISBLANK(V417),"","A")),
     IF(V417="EE",IF(Z417&gt;=3,IF(X417&gt;=5,"H","A"),
     IF(Z417&gt;=2,IF(X417&gt;=16,"H",IF(X417&lt;=4,"L","A")),IF(X417&lt;=15,"L","A"))),
     IF(OR(V417="SE",V417="CE"),IF(Z417&gt;=4,IF(X417&gt;=6,"H","A"),IF(Z417&gt;=2,IF(X417&gt;=20,"H",IF(X417&lt;=5,"L","A")),IF(X417&lt;=19,"L","A"))),
     IF(OR(V417="ALI",V417="AIE"),IF(Z417&gt;=6,IF(X417&gt;=20,"H","A"),IF(Z417&gt;=2,IF(X417&gt;=51,"H",IF(X417&lt;=19,"L","A")),IF(X417&lt;=50,"L","A"))))))),
IF('Dados da OS'!$D$8=Parâmetros!$B$6,"Indicativa",
IF('Dados da OS'!$D$8=Parâmetros!$B$5,"PFS","")))</f>
        <v/>
      </c>
      <c r="AF417" s="57">
        <f>IFERROR(VLOOKUP(W417,'Fatores de Impacto e INMs'!$A$3:$D$32,3,0),1)</f>
        <v>1</v>
      </c>
      <c r="AG417" s="57">
        <f>IFERROR(VLOOKUP(W417,'Fatores de Impacto e INMs'!$A$3:$E$32,5,0),1)</f>
        <v>1</v>
      </c>
      <c r="AH417" s="82" t="str">
        <f xml:space="preserve">
IF(OR('Dados da OS'!$D$8="Selecione o tipo da contagem",ISBLANK('Dados da OS'!$D$8),V417="INM",V417="N/A",ISBLANK(V417),ISBLANK(W417),AG417="VF"),"-",
   IF('Dados da OS'!$D$8=Parâmetros!$B$3,
      IF(OR(ISBLANK(X417),ISBLANK(Z417)),"-",
         IF(AE417="L","Baixa",IF(AE417="A","Média",IF(AE417="H","Alta","-")))),
      IF('Dados da OS'!$D$8=Parâmetros!$B$4,
         IF(OR(V417="ALI",V417="AIE"),"Baixa",IF(OR(V417="EE",V417="SE",V417="CE"),"Média","-")),
         IF(OR('Dados da OS'!$D$8=Parâmetros!$B$5,'Dados da OS'!$D$8=Parâmetros!$B$6),"-"))))</f>
        <v>-</v>
      </c>
      <c r="AI417" s="83" t="str">
        <f xml:space="preserve">
IF(OR(ISBLANK(V417),ISBLANK(U417),ISBLANK(W417),V417="N/A",ISBLANK('Dados da OS'!$D$8)),"",
   IF(OR('Dados da OS'!$D$8=Parâmetros!$B$3,'Dados da OS'!$D$8=Parâmetros!$B$4),
      IF(OR(AND(V417="INM",AG417&lt;&gt;"VF"),AND(AG417="VF",V417&lt;&gt;"INM")),"",
        IF(AND(V417="INM",AG417="VF"),IF(ISBLANK(AB417),"",AF417*AB417),
        IF('Dados da OS'!$D$8=Parâmetros!$B$4,
           IF(OR(V417="CE",V417="EE"),4,IF(V417="SE",5,IF(V417="ALI",7,IF(V417="AIE",5,"")))),
        IF('Dados da OS'!$D$8=Parâmetros!$B$3,
           IF(OR(ISBLANK(X417),ISBLANK(Z417)),"",
              IF(V417="ALI",IF(AE417="L",7,IF(AE417="A",10,15)),
                 IF(V417="AIE",IF(AE417="L",5,IF(AE417="A",7,10)),
                    IF(V417="SE",IF(AE417="L",4,IF(AE417="A",5,7)),
                       IF(OR(V417="EE",V417="CE"),IF(AE417="L",3,IF(AE417="A",4,6)),""))))))))),
   IF('Dados da OS'!$D$8=Parâmetros!$B$5,
      IF(OR(AND(V417="INM",AG417&lt;&gt;"VF"),AND(AG417="VF",V417&lt;&gt;"INM")),"",
         IF(V417="INM",IF(AG417="VF",AF417*AB417,""),
            IF(V417="PE",4.6,
            IF(V417="AL",7,"")))),
   IF('Dados da OS'!$D$8=Parâmetros!$B$6,
      IF(V417="ALI",35,IF(V417="AIE",15,"")),""))
    )
)</f>
        <v/>
      </c>
      <c r="AJ417" s="82" t="str">
        <f t="shared" si="46"/>
        <v/>
      </c>
      <c r="AK417" s="84"/>
      <c r="AL417" s="85" t="s">
        <v>21</v>
      </c>
      <c r="AM417" s="86"/>
      <c r="AN417" s="85"/>
      <c r="AO417" s="87"/>
      <c r="AP417" s="85"/>
      <c r="AQ417" s="86"/>
      <c r="AR417" s="85"/>
    </row>
    <row r="418" spans="1:44" ht="15.75" customHeight="1">
      <c r="A418" s="54"/>
      <c r="B418" s="100"/>
      <c r="C418" s="55"/>
      <c r="D418" s="55"/>
      <c r="E418" s="56"/>
      <c r="F418" s="55"/>
      <c r="G418" s="56"/>
      <c r="H418" s="55"/>
      <c r="I418" s="64"/>
      <c r="J418" s="57" t="str">
        <f t="shared" si="41"/>
        <v/>
      </c>
      <c r="K418" s="57" t="str">
        <f t="shared" si="42"/>
        <v/>
      </c>
      <c r="L418" s="57" t="str">
        <f xml:space="preserve">
IF(OR('Dados da OS'!$D$8=Parâmetros!$B$3,'Dados da OS'!$D$8=Parâmetros!$B$4),
  IF(OR(ISBLANK(D418),ISBLANK(F418)),
     IF(OR(B418="ALI",B418="AIE"),"L",IF(ISBLANK(B418),"","A")),
     IF(B418="EE",IF(F418&gt;=3,IF(D418&gt;=5,"H","A"),
     IF(F418&gt;=2,IF(D418&gt;=16,"H",IF(D418&lt;=4,"L","A")),IF(D418&lt;=15,"L","A"))),
     IF(OR(B418="SE",B418="CE"),IF(F418&gt;=4,IF(D418&gt;=6,"H","A"),IF(F418&gt;=2,IF(D418&gt;=20,"H",IF(D418&lt;=5,"L","A")),IF(D418&lt;=19,"L","A"))),
     IF(OR(B418="ALI",B418="AIE"),IF(F418&gt;=6,IF(D418&gt;=20,"H","A"),IF(F418&gt;=2,IF(D418&gt;=51,"H",IF(D418&lt;=19,"L","A")),IF(D418&lt;=50,"L","A"))))))),
IF('Dados da OS'!$D$8=Parâmetros!$B$6,"Indicativa",
IF('Dados da OS'!$D$8=Parâmetros!$B$5,"PFS","")))</f>
        <v/>
      </c>
      <c r="M418" s="57">
        <f>IFERROR(VLOOKUP(C418,'Fatores de Impacto e INMs'!$A$3:$D$32,3,0),1)</f>
        <v>1</v>
      </c>
      <c r="N418" s="57">
        <f>IFERROR(VLOOKUP(C418,'Fatores de Impacto e INMs'!$A$3:$E$32,5,0),1)</f>
        <v>1</v>
      </c>
      <c r="O418" s="63" t="str">
        <f xml:space="preserve">
IF(OR('Dados da OS'!$D$8="Selecione o tipo da contagem",ISBLANK('Dados da OS'!$D$8),B418="INM",B418="N/A",ISBLANK(B418),ISBLANK(C418),N418="VF"),"-",
   IF('Dados da OS'!$D$8=Parâmetros!$B$3,
      IF(OR(ISBLANK(D418),ISBLANK(F418)),"-",
         IF(L418="L","Baixa",IF(L418="A","Média",IF(L418="H","Alta","-")))),
      IF('Dados da OS'!$D$8=Parâmetros!$B$4,
         IF(OR(B418="ALI",B418="AIE"),"Baixa",IF(OR(B418="EE",B418="SE",B418="CE"),"Média","-")),
         IF(OR('Dados da OS'!$D$8=Parâmetros!$B$5,'Dados da OS'!$D$8=Parâmetros!$B$6),"-"))))</f>
        <v>-</v>
      </c>
      <c r="P418" s="59" t="str">
        <f xml:space="preserve">
IF(OR(ISBLANK(B418),ISBLANK(C418),B418="N/A",ISBLANK('Dados da OS'!$D$8)),"",
   IF(OR('Dados da OS'!$D$8=Parâmetros!$B$3,'Dados da OS'!$D$8=Parâmetros!$B$4),
      IF(OR(AND(B418="INM",N418&lt;&gt;"VF"),AND(N418="VF",B418&lt;&gt;"INM")),"",
        IF(AND(B418="INM",N418="VF"),IF(ISBLANK(H418),"",M418*H418),
        IF('Dados da OS'!$D$8=Parâmetros!$B$4,
           IF(OR(B418="CE",B418="EE"),4,IF(B418="SE",5,IF(B418="ALI",7,IF(B418="AIE",5,"")))),
        IF('Dados da OS'!$D$8=Parâmetros!$B$3,
           IF(OR(ISBLANK(D418),ISBLANK(F418)),"",
              IF(B418="ALI",IF(L418="L",7,IF(L418="A",10,15)),
                 IF(B418="AIE",IF(L418="L",5,IF(L418="A",7,10)),
                    IF(B418="SE",IF(L418="L",4,IF(L418="A",5,7)),
                       IF(OR(B418="EE",B418="CE"),IF(L418="L",3,IF(L418="A",4,6)),""))))))))),
   IF('Dados da OS'!$D$8=Parâmetros!$B$5,
      IF(OR(AND(B418="INM",N418&lt;&gt;"VF"),AND(N418="VF",B418&lt;&gt;"INM")),"",
         IF(B418="INM",IF(N418="VF",M418*H418,""),
            IF(B418="PE",4.6,
            IF(B418="AL",7,"")))),
   IF('Dados da OS'!$D$8=Parâmetros!$B$6,
      IF(B418="ALI",35,IF(B418="AIE",15,"")),""))
    )
)</f>
        <v/>
      </c>
      <c r="Q418" s="60" t="str">
        <f t="shared" si="43"/>
        <v/>
      </c>
      <c r="R418" s="61"/>
      <c r="S418" s="62"/>
      <c r="T418" s="80" t="s">
        <v>21</v>
      </c>
      <c r="U418" s="81"/>
      <c r="V418" s="99"/>
      <c r="W418" s="55"/>
      <c r="X418" s="55"/>
      <c r="Y418" s="56"/>
      <c r="Z418" s="55"/>
      <c r="AA418" s="56"/>
      <c r="AB418" s="55"/>
      <c r="AC418" s="57" t="str">
        <f t="shared" si="44"/>
        <v/>
      </c>
      <c r="AD418" s="57" t="str">
        <f t="shared" si="45"/>
        <v/>
      </c>
      <c r="AE418" s="57" t="str">
        <f xml:space="preserve">
IF(OR('Dados da OS'!$D$8=Parâmetros!$B$3,'Dados da OS'!$D$8=Parâmetros!$B$4),
  IF(OR(ISBLANK(X418),ISBLANK(Z418)),
     IF(OR(V418="ALI",V418="AIE"),"L",IF(ISBLANK(V418),"","A")),
     IF(V418="EE",IF(Z418&gt;=3,IF(X418&gt;=5,"H","A"),
     IF(Z418&gt;=2,IF(X418&gt;=16,"H",IF(X418&lt;=4,"L","A")),IF(X418&lt;=15,"L","A"))),
     IF(OR(V418="SE",V418="CE"),IF(Z418&gt;=4,IF(X418&gt;=6,"H","A"),IF(Z418&gt;=2,IF(X418&gt;=20,"H",IF(X418&lt;=5,"L","A")),IF(X418&lt;=19,"L","A"))),
     IF(OR(V418="ALI",V418="AIE"),IF(Z418&gt;=6,IF(X418&gt;=20,"H","A"),IF(Z418&gt;=2,IF(X418&gt;=51,"H",IF(X418&lt;=19,"L","A")),IF(X418&lt;=50,"L","A"))))))),
IF('Dados da OS'!$D$8=Parâmetros!$B$6,"Indicativa",
IF('Dados da OS'!$D$8=Parâmetros!$B$5,"PFS","")))</f>
        <v/>
      </c>
      <c r="AF418" s="57">
        <f>IFERROR(VLOOKUP(W418,'Fatores de Impacto e INMs'!$A$3:$D$32,3,0),1)</f>
        <v>1</v>
      </c>
      <c r="AG418" s="57">
        <f>IFERROR(VLOOKUP(W418,'Fatores de Impacto e INMs'!$A$3:$E$32,5,0),1)</f>
        <v>1</v>
      </c>
      <c r="AH418" s="82" t="str">
        <f xml:space="preserve">
IF(OR('Dados da OS'!$D$8="Selecione o tipo da contagem",ISBLANK('Dados da OS'!$D$8),V418="INM",V418="N/A",ISBLANK(V418),ISBLANK(W418),AG418="VF"),"-",
   IF('Dados da OS'!$D$8=Parâmetros!$B$3,
      IF(OR(ISBLANK(X418),ISBLANK(Z418)),"-",
         IF(AE418="L","Baixa",IF(AE418="A","Média",IF(AE418="H","Alta","-")))),
      IF('Dados da OS'!$D$8=Parâmetros!$B$4,
         IF(OR(V418="ALI",V418="AIE"),"Baixa",IF(OR(V418="EE",V418="SE",V418="CE"),"Média","-")),
         IF(OR('Dados da OS'!$D$8=Parâmetros!$B$5,'Dados da OS'!$D$8=Parâmetros!$B$6),"-"))))</f>
        <v>-</v>
      </c>
      <c r="AI418" s="83" t="str">
        <f xml:space="preserve">
IF(OR(ISBLANK(V418),ISBLANK(U418),ISBLANK(W418),V418="N/A",ISBLANK('Dados da OS'!$D$8)),"",
   IF(OR('Dados da OS'!$D$8=Parâmetros!$B$3,'Dados da OS'!$D$8=Parâmetros!$B$4),
      IF(OR(AND(V418="INM",AG418&lt;&gt;"VF"),AND(AG418="VF",V418&lt;&gt;"INM")),"",
        IF(AND(V418="INM",AG418="VF"),IF(ISBLANK(AB418),"",AF418*AB418),
        IF('Dados da OS'!$D$8=Parâmetros!$B$4,
           IF(OR(V418="CE",V418="EE"),4,IF(V418="SE",5,IF(V418="ALI",7,IF(V418="AIE",5,"")))),
        IF('Dados da OS'!$D$8=Parâmetros!$B$3,
           IF(OR(ISBLANK(X418),ISBLANK(Z418)),"",
              IF(V418="ALI",IF(AE418="L",7,IF(AE418="A",10,15)),
                 IF(V418="AIE",IF(AE418="L",5,IF(AE418="A",7,10)),
                    IF(V418="SE",IF(AE418="L",4,IF(AE418="A",5,7)),
                       IF(OR(V418="EE",V418="CE"),IF(AE418="L",3,IF(AE418="A",4,6)),""))))))))),
   IF('Dados da OS'!$D$8=Parâmetros!$B$5,
      IF(OR(AND(V418="INM",AG418&lt;&gt;"VF"),AND(AG418="VF",V418&lt;&gt;"INM")),"",
         IF(V418="INM",IF(AG418="VF",AF418*AB418,""),
            IF(V418="PE",4.6,
            IF(V418="AL",7,"")))),
   IF('Dados da OS'!$D$8=Parâmetros!$B$6,
      IF(V418="ALI",35,IF(V418="AIE",15,"")),""))
    )
)</f>
        <v/>
      </c>
      <c r="AJ418" s="82" t="str">
        <f t="shared" si="46"/>
        <v/>
      </c>
      <c r="AK418" s="84"/>
      <c r="AL418" s="85" t="s">
        <v>21</v>
      </c>
      <c r="AM418" s="86"/>
      <c r="AN418" s="85"/>
      <c r="AO418" s="87"/>
      <c r="AP418" s="85"/>
      <c r="AQ418" s="86"/>
      <c r="AR418" s="85"/>
    </row>
    <row r="419" spans="1:44" ht="15.75" customHeight="1">
      <c r="A419" s="54"/>
      <c r="B419" s="100"/>
      <c r="C419" s="55"/>
      <c r="D419" s="55"/>
      <c r="E419" s="56"/>
      <c r="F419" s="55"/>
      <c r="G419" s="56"/>
      <c r="H419" s="55"/>
      <c r="I419" s="64"/>
      <c r="J419" s="57" t="str">
        <f t="shared" si="41"/>
        <v/>
      </c>
      <c r="K419" s="57" t="str">
        <f t="shared" si="42"/>
        <v/>
      </c>
      <c r="L419" s="57" t="str">
        <f xml:space="preserve">
IF(OR('Dados da OS'!$D$8=Parâmetros!$B$3,'Dados da OS'!$D$8=Parâmetros!$B$4),
  IF(OR(ISBLANK(D419),ISBLANK(F419)),
     IF(OR(B419="ALI",B419="AIE"),"L",IF(ISBLANK(B419),"","A")),
     IF(B419="EE",IF(F419&gt;=3,IF(D419&gt;=5,"H","A"),
     IF(F419&gt;=2,IF(D419&gt;=16,"H",IF(D419&lt;=4,"L","A")),IF(D419&lt;=15,"L","A"))),
     IF(OR(B419="SE",B419="CE"),IF(F419&gt;=4,IF(D419&gt;=6,"H","A"),IF(F419&gt;=2,IF(D419&gt;=20,"H",IF(D419&lt;=5,"L","A")),IF(D419&lt;=19,"L","A"))),
     IF(OR(B419="ALI",B419="AIE"),IF(F419&gt;=6,IF(D419&gt;=20,"H","A"),IF(F419&gt;=2,IF(D419&gt;=51,"H",IF(D419&lt;=19,"L","A")),IF(D419&lt;=50,"L","A"))))))),
IF('Dados da OS'!$D$8=Parâmetros!$B$6,"Indicativa",
IF('Dados da OS'!$D$8=Parâmetros!$B$5,"PFS","")))</f>
        <v/>
      </c>
      <c r="M419" s="57">
        <f>IFERROR(VLOOKUP(C419,'Fatores de Impacto e INMs'!$A$3:$D$32,3,0),1)</f>
        <v>1</v>
      </c>
      <c r="N419" s="57">
        <f>IFERROR(VLOOKUP(C419,'Fatores de Impacto e INMs'!$A$3:$E$32,5,0),1)</f>
        <v>1</v>
      </c>
      <c r="O419" s="63" t="str">
        <f xml:space="preserve">
IF(OR('Dados da OS'!$D$8="Selecione o tipo da contagem",ISBLANK('Dados da OS'!$D$8),B419="INM",B419="N/A",ISBLANK(B419),ISBLANK(C419),N419="VF"),"-",
   IF('Dados da OS'!$D$8=Parâmetros!$B$3,
      IF(OR(ISBLANK(D419),ISBLANK(F419)),"-",
         IF(L419="L","Baixa",IF(L419="A","Média",IF(L419="H","Alta","-")))),
      IF('Dados da OS'!$D$8=Parâmetros!$B$4,
         IF(OR(B419="ALI",B419="AIE"),"Baixa",IF(OR(B419="EE",B419="SE",B419="CE"),"Média","-")),
         IF(OR('Dados da OS'!$D$8=Parâmetros!$B$5,'Dados da OS'!$D$8=Parâmetros!$B$6),"-"))))</f>
        <v>-</v>
      </c>
      <c r="P419" s="59" t="str">
        <f xml:space="preserve">
IF(OR(ISBLANK(B419),ISBLANK(C419),B419="N/A",ISBLANK('Dados da OS'!$D$8)),"",
   IF(OR('Dados da OS'!$D$8=Parâmetros!$B$3,'Dados da OS'!$D$8=Parâmetros!$B$4),
      IF(OR(AND(B419="INM",N419&lt;&gt;"VF"),AND(N419="VF",B419&lt;&gt;"INM")),"",
        IF(AND(B419="INM",N419="VF"),IF(ISBLANK(H419),"",M419*H419),
        IF('Dados da OS'!$D$8=Parâmetros!$B$4,
           IF(OR(B419="CE",B419="EE"),4,IF(B419="SE",5,IF(B419="ALI",7,IF(B419="AIE",5,"")))),
        IF('Dados da OS'!$D$8=Parâmetros!$B$3,
           IF(OR(ISBLANK(D419),ISBLANK(F419)),"",
              IF(B419="ALI",IF(L419="L",7,IF(L419="A",10,15)),
                 IF(B419="AIE",IF(L419="L",5,IF(L419="A",7,10)),
                    IF(B419="SE",IF(L419="L",4,IF(L419="A",5,7)),
                       IF(OR(B419="EE",B419="CE"),IF(L419="L",3,IF(L419="A",4,6)),""))))))))),
   IF('Dados da OS'!$D$8=Parâmetros!$B$5,
      IF(OR(AND(B419="INM",N419&lt;&gt;"VF"),AND(N419="VF",B419&lt;&gt;"INM")),"",
         IF(B419="INM",IF(N419="VF",M419*H419,""),
            IF(B419="PE",4.6,
            IF(B419="AL",7,"")))),
   IF('Dados da OS'!$D$8=Parâmetros!$B$6,
      IF(B419="ALI",35,IF(B419="AIE",15,"")),""))
    )
)</f>
        <v/>
      </c>
      <c r="Q419" s="60" t="str">
        <f t="shared" si="43"/>
        <v/>
      </c>
      <c r="R419" s="61"/>
      <c r="S419" s="62"/>
      <c r="T419" s="80" t="s">
        <v>21</v>
      </c>
      <c r="U419" s="81"/>
      <c r="V419" s="99"/>
      <c r="W419" s="55"/>
      <c r="X419" s="55"/>
      <c r="Y419" s="56"/>
      <c r="Z419" s="55"/>
      <c r="AA419" s="56"/>
      <c r="AB419" s="55"/>
      <c r="AC419" s="57" t="str">
        <f t="shared" si="44"/>
        <v/>
      </c>
      <c r="AD419" s="57" t="str">
        <f t="shared" si="45"/>
        <v/>
      </c>
      <c r="AE419" s="57" t="str">
        <f xml:space="preserve">
IF(OR('Dados da OS'!$D$8=Parâmetros!$B$3,'Dados da OS'!$D$8=Parâmetros!$B$4),
  IF(OR(ISBLANK(X419),ISBLANK(Z419)),
     IF(OR(V419="ALI",V419="AIE"),"L",IF(ISBLANK(V419),"","A")),
     IF(V419="EE",IF(Z419&gt;=3,IF(X419&gt;=5,"H","A"),
     IF(Z419&gt;=2,IF(X419&gt;=16,"H",IF(X419&lt;=4,"L","A")),IF(X419&lt;=15,"L","A"))),
     IF(OR(V419="SE",V419="CE"),IF(Z419&gt;=4,IF(X419&gt;=6,"H","A"),IF(Z419&gt;=2,IF(X419&gt;=20,"H",IF(X419&lt;=5,"L","A")),IF(X419&lt;=19,"L","A"))),
     IF(OR(V419="ALI",V419="AIE"),IF(Z419&gt;=6,IF(X419&gt;=20,"H","A"),IF(Z419&gt;=2,IF(X419&gt;=51,"H",IF(X419&lt;=19,"L","A")),IF(X419&lt;=50,"L","A"))))))),
IF('Dados da OS'!$D$8=Parâmetros!$B$6,"Indicativa",
IF('Dados da OS'!$D$8=Parâmetros!$B$5,"PFS","")))</f>
        <v/>
      </c>
      <c r="AF419" s="57">
        <f>IFERROR(VLOOKUP(W419,'Fatores de Impacto e INMs'!$A$3:$D$32,3,0),1)</f>
        <v>1</v>
      </c>
      <c r="AG419" s="57">
        <f>IFERROR(VLOOKUP(W419,'Fatores de Impacto e INMs'!$A$3:$E$32,5,0),1)</f>
        <v>1</v>
      </c>
      <c r="AH419" s="82" t="str">
        <f xml:space="preserve">
IF(OR('Dados da OS'!$D$8="Selecione o tipo da contagem",ISBLANK('Dados da OS'!$D$8),V419="INM",V419="N/A",ISBLANK(V419),ISBLANK(W419),AG419="VF"),"-",
   IF('Dados da OS'!$D$8=Parâmetros!$B$3,
      IF(OR(ISBLANK(X419),ISBLANK(Z419)),"-",
         IF(AE419="L","Baixa",IF(AE419="A","Média",IF(AE419="H","Alta","-")))),
      IF('Dados da OS'!$D$8=Parâmetros!$B$4,
         IF(OR(V419="ALI",V419="AIE"),"Baixa",IF(OR(V419="EE",V419="SE",V419="CE"),"Média","-")),
         IF(OR('Dados da OS'!$D$8=Parâmetros!$B$5,'Dados da OS'!$D$8=Parâmetros!$B$6),"-"))))</f>
        <v>-</v>
      </c>
      <c r="AI419" s="83" t="str">
        <f xml:space="preserve">
IF(OR(ISBLANK(V419),ISBLANK(U419),ISBLANK(W419),V419="N/A",ISBLANK('Dados da OS'!$D$8)),"",
   IF(OR('Dados da OS'!$D$8=Parâmetros!$B$3,'Dados da OS'!$D$8=Parâmetros!$B$4),
      IF(OR(AND(V419="INM",AG419&lt;&gt;"VF"),AND(AG419="VF",V419&lt;&gt;"INM")),"",
        IF(AND(V419="INM",AG419="VF"),IF(ISBLANK(AB419),"",AF419*AB419),
        IF('Dados da OS'!$D$8=Parâmetros!$B$4,
           IF(OR(V419="CE",V419="EE"),4,IF(V419="SE",5,IF(V419="ALI",7,IF(V419="AIE",5,"")))),
        IF('Dados da OS'!$D$8=Parâmetros!$B$3,
           IF(OR(ISBLANK(X419),ISBLANK(Z419)),"",
              IF(V419="ALI",IF(AE419="L",7,IF(AE419="A",10,15)),
                 IF(V419="AIE",IF(AE419="L",5,IF(AE419="A",7,10)),
                    IF(V419="SE",IF(AE419="L",4,IF(AE419="A",5,7)),
                       IF(OR(V419="EE",V419="CE"),IF(AE419="L",3,IF(AE419="A",4,6)),""))))))))),
   IF('Dados da OS'!$D$8=Parâmetros!$B$5,
      IF(OR(AND(V419="INM",AG419&lt;&gt;"VF"),AND(AG419="VF",V419&lt;&gt;"INM")),"",
         IF(V419="INM",IF(AG419="VF",AF419*AB419,""),
            IF(V419="PE",4.6,
            IF(V419="AL",7,"")))),
   IF('Dados da OS'!$D$8=Parâmetros!$B$6,
      IF(V419="ALI",35,IF(V419="AIE",15,"")),""))
    )
)</f>
        <v/>
      </c>
      <c r="AJ419" s="82" t="str">
        <f t="shared" si="46"/>
        <v/>
      </c>
      <c r="AK419" s="84"/>
      <c r="AL419" s="85" t="s">
        <v>21</v>
      </c>
      <c r="AM419" s="86"/>
      <c r="AN419" s="85"/>
      <c r="AO419" s="87"/>
      <c r="AP419" s="85"/>
      <c r="AQ419" s="86"/>
      <c r="AR419" s="85"/>
    </row>
    <row r="420" spans="1:44" ht="15.75" customHeight="1">
      <c r="A420" s="54"/>
      <c r="B420" s="100"/>
      <c r="C420" s="55"/>
      <c r="D420" s="55"/>
      <c r="E420" s="56"/>
      <c r="F420" s="55"/>
      <c r="G420" s="56"/>
      <c r="H420" s="55"/>
      <c r="I420" s="64"/>
      <c r="J420" s="57" t="str">
        <f t="shared" si="41"/>
        <v/>
      </c>
      <c r="K420" s="57" t="str">
        <f t="shared" si="42"/>
        <v/>
      </c>
      <c r="L420" s="57" t="str">
        <f xml:space="preserve">
IF(OR('Dados da OS'!$D$8=Parâmetros!$B$3,'Dados da OS'!$D$8=Parâmetros!$B$4),
  IF(OR(ISBLANK(D420),ISBLANK(F420)),
     IF(OR(B420="ALI",B420="AIE"),"L",IF(ISBLANK(B420),"","A")),
     IF(B420="EE",IF(F420&gt;=3,IF(D420&gt;=5,"H","A"),
     IF(F420&gt;=2,IF(D420&gt;=16,"H",IF(D420&lt;=4,"L","A")),IF(D420&lt;=15,"L","A"))),
     IF(OR(B420="SE",B420="CE"),IF(F420&gt;=4,IF(D420&gt;=6,"H","A"),IF(F420&gt;=2,IF(D420&gt;=20,"H",IF(D420&lt;=5,"L","A")),IF(D420&lt;=19,"L","A"))),
     IF(OR(B420="ALI",B420="AIE"),IF(F420&gt;=6,IF(D420&gt;=20,"H","A"),IF(F420&gt;=2,IF(D420&gt;=51,"H",IF(D420&lt;=19,"L","A")),IF(D420&lt;=50,"L","A"))))))),
IF('Dados da OS'!$D$8=Parâmetros!$B$6,"Indicativa",
IF('Dados da OS'!$D$8=Parâmetros!$B$5,"PFS","")))</f>
        <v/>
      </c>
      <c r="M420" s="57">
        <f>IFERROR(VLOOKUP(C420,'Fatores de Impacto e INMs'!$A$3:$D$32,3,0),1)</f>
        <v>1</v>
      </c>
      <c r="N420" s="57">
        <f>IFERROR(VLOOKUP(C420,'Fatores de Impacto e INMs'!$A$3:$E$32,5,0),1)</f>
        <v>1</v>
      </c>
      <c r="O420" s="63" t="str">
        <f xml:space="preserve">
IF(OR('Dados da OS'!$D$8="Selecione o tipo da contagem",ISBLANK('Dados da OS'!$D$8),B420="INM",B420="N/A",ISBLANK(B420),ISBLANK(C420),N420="VF"),"-",
   IF('Dados da OS'!$D$8=Parâmetros!$B$3,
      IF(OR(ISBLANK(D420),ISBLANK(F420)),"-",
         IF(L420="L","Baixa",IF(L420="A","Média",IF(L420="H","Alta","-")))),
      IF('Dados da OS'!$D$8=Parâmetros!$B$4,
         IF(OR(B420="ALI",B420="AIE"),"Baixa",IF(OR(B420="EE",B420="SE",B420="CE"),"Média","-")),
         IF(OR('Dados da OS'!$D$8=Parâmetros!$B$5,'Dados da OS'!$D$8=Parâmetros!$B$6),"-"))))</f>
        <v>-</v>
      </c>
      <c r="P420" s="59" t="str">
        <f xml:space="preserve">
IF(OR(ISBLANK(B420),ISBLANK(C420),B420="N/A",ISBLANK('Dados da OS'!$D$8)),"",
   IF(OR('Dados da OS'!$D$8=Parâmetros!$B$3,'Dados da OS'!$D$8=Parâmetros!$B$4),
      IF(OR(AND(B420="INM",N420&lt;&gt;"VF"),AND(N420="VF",B420&lt;&gt;"INM")),"",
        IF(AND(B420="INM",N420="VF"),IF(ISBLANK(H420),"",M420*H420),
        IF('Dados da OS'!$D$8=Parâmetros!$B$4,
           IF(OR(B420="CE",B420="EE"),4,IF(B420="SE",5,IF(B420="ALI",7,IF(B420="AIE",5,"")))),
        IF('Dados da OS'!$D$8=Parâmetros!$B$3,
           IF(OR(ISBLANK(D420),ISBLANK(F420)),"",
              IF(B420="ALI",IF(L420="L",7,IF(L420="A",10,15)),
                 IF(B420="AIE",IF(L420="L",5,IF(L420="A",7,10)),
                    IF(B420="SE",IF(L420="L",4,IF(L420="A",5,7)),
                       IF(OR(B420="EE",B420="CE"),IF(L420="L",3,IF(L420="A",4,6)),""))))))))),
   IF('Dados da OS'!$D$8=Parâmetros!$B$5,
      IF(OR(AND(B420="INM",N420&lt;&gt;"VF"),AND(N420="VF",B420&lt;&gt;"INM")),"",
         IF(B420="INM",IF(N420="VF",M420*H420,""),
            IF(B420="PE",4.6,
            IF(B420="AL",7,"")))),
   IF('Dados da OS'!$D$8=Parâmetros!$B$6,
      IF(B420="ALI",35,IF(B420="AIE",15,"")),""))
    )
)</f>
        <v/>
      </c>
      <c r="Q420" s="60" t="str">
        <f t="shared" si="43"/>
        <v/>
      </c>
      <c r="R420" s="61"/>
      <c r="S420" s="62"/>
      <c r="T420" s="80" t="s">
        <v>21</v>
      </c>
      <c r="U420" s="81"/>
      <c r="V420" s="99"/>
      <c r="W420" s="55"/>
      <c r="X420" s="55"/>
      <c r="Y420" s="56"/>
      <c r="Z420" s="55"/>
      <c r="AA420" s="56"/>
      <c r="AB420" s="55"/>
      <c r="AC420" s="57" t="str">
        <f t="shared" si="44"/>
        <v/>
      </c>
      <c r="AD420" s="57" t="str">
        <f t="shared" si="45"/>
        <v/>
      </c>
      <c r="AE420" s="57" t="str">
        <f xml:space="preserve">
IF(OR('Dados da OS'!$D$8=Parâmetros!$B$3,'Dados da OS'!$D$8=Parâmetros!$B$4),
  IF(OR(ISBLANK(X420),ISBLANK(Z420)),
     IF(OR(V420="ALI",V420="AIE"),"L",IF(ISBLANK(V420),"","A")),
     IF(V420="EE",IF(Z420&gt;=3,IF(X420&gt;=5,"H","A"),
     IF(Z420&gt;=2,IF(X420&gt;=16,"H",IF(X420&lt;=4,"L","A")),IF(X420&lt;=15,"L","A"))),
     IF(OR(V420="SE",V420="CE"),IF(Z420&gt;=4,IF(X420&gt;=6,"H","A"),IF(Z420&gt;=2,IF(X420&gt;=20,"H",IF(X420&lt;=5,"L","A")),IF(X420&lt;=19,"L","A"))),
     IF(OR(V420="ALI",V420="AIE"),IF(Z420&gt;=6,IF(X420&gt;=20,"H","A"),IF(Z420&gt;=2,IF(X420&gt;=51,"H",IF(X420&lt;=19,"L","A")),IF(X420&lt;=50,"L","A"))))))),
IF('Dados da OS'!$D$8=Parâmetros!$B$6,"Indicativa",
IF('Dados da OS'!$D$8=Parâmetros!$B$5,"PFS","")))</f>
        <v/>
      </c>
      <c r="AF420" s="57">
        <f>IFERROR(VLOOKUP(W420,'Fatores de Impacto e INMs'!$A$3:$D$32,3,0),1)</f>
        <v>1</v>
      </c>
      <c r="AG420" s="57">
        <f>IFERROR(VLOOKUP(W420,'Fatores de Impacto e INMs'!$A$3:$E$32,5,0),1)</f>
        <v>1</v>
      </c>
      <c r="AH420" s="82" t="str">
        <f xml:space="preserve">
IF(OR('Dados da OS'!$D$8="Selecione o tipo da contagem",ISBLANK('Dados da OS'!$D$8),V420="INM",V420="N/A",ISBLANK(V420),ISBLANK(W420),AG420="VF"),"-",
   IF('Dados da OS'!$D$8=Parâmetros!$B$3,
      IF(OR(ISBLANK(X420),ISBLANK(Z420)),"-",
         IF(AE420="L","Baixa",IF(AE420="A","Média",IF(AE420="H","Alta","-")))),
      IF('Dados da OS'!$D$8=Parâmetros!$B$4,
         IF(OR(V420="ALI",V420="AIE"),"Baixa",IF(OR(V420="EE",V420="SE",V420="CE"),"Média","-")),
         IF(OR('Dados da OS'!$D$8=Parâmetros!$B$5,'Dados da OS'!$D$8=Parâmetros!$B$6),"-"))))</f>
        <v>-</v>
      </c>
      <c r="AI420" s="83" t="str">
        <f xml:space="preserve">
IF(OR(ISBLANK(V420),ISBLANK(U420),ISBLANK(W420),V420="N/A",ISBLANK('Dados da OS'!$D$8)),"",
   IF(OR('Dados da OS'!$D$8=Parâmetros!$B$3,'Dados da OS'!$D$8=Parâmetros!$B$4),
      IF(OR(AND(V420="INM",AG420&lt;&gt;"VF"),AND(AG420="VF",V420&lt;&gt;"INM")),"",
        IF(AND(V420="INM",AG420="VF"),IF(ISBLANK(AB420),"",AF420*AB420),
        IF('Dados da OS'!$D$8=Parâmetros!$B$4,
           IF(OR(V420="CE",V420="EE"),4,IF(V420="SE",5,IF(V420="ALI",7,IF(V420="AIE",5,"")))),
        IF('Dados da OS'!$D$8=Parâmetros!$B$3,
           IF(OR(ISBLANK(X420),ISBLANK(Z420)),"",
              IF(V420="ALI",IF(AE420="L",7,IF(AE420="A",10,15)),
                 IF(V420="AIE",IF(AE420="L",5,IF(AE420="A",7,10)),
                    IF(V420="SE",IF(AE420="L",4,IF(AE420="A",5,7)),
                       IF(OR(V420="EE",V420="CE"),IF(AE420="L",3,IF(AE420="A",4,6)),""))))))))),
   IF('Dados da OS'!$D$8=Parâmetros!$B$5,
      IF(OR(AND(V420="INM",AG420&lt;&gt;"VF"),AND(AG420="VF",V420&lt;&gt;"INM")),"",
         IF(V420="INM",IF(AG420="VF",AF420*AB420,""),
            IF(V420="PE",4.6,
            IF(V420="AL",7,"")))),
   IF('Dados da OS'!$D$8=Parâmetros!$B$6,
      IF(V420="ALI",35,IF(V420="AIE",15,"")),""))
    )
)</f>
        <v/>
      </c>
      <c r="AJ420" s="82" t="str">
        <f t="shared" si="46"/>
        <v/>
      </c>
      <c r="AK420" s="84"/>
      <c r="AL420" s="85" t="s">
        <v>21</v>
      </c>
      <c r="AM420" s="86"/>
      <c r="AN420" s="85"/>
      <c r="AO420" s="87"/>
      <c r="AP420" s="85"/>
      <c r="AQ420" s="86"/>
      <c r="AR420" s="85"/>
    </row>
    <row r="421" spans="1:44" ht="15.75" customHeight="1">
      <c r="A421" s="54"/>
      <c r="B421" s="100"/>
      <c r="C421" s="55"/>
      <c r="D421" s="55"/>
      <c r="E421" s="56"/>
      <c r="F421" s="55"/>
      <c r="G421" s="56"/>
      <c r="H421" s="55"/>
      <c r="I421" s="64"/>
      <c r="J421" s="57" t="str">
        <f t="shared" si="41"/>
        <v/>
      </c>
      <c r="K421" s="57" t="str">
        <f t="shared" si="42"/>
        <v/>
      </c>
      <c r="L421" s="57" t="str">
        <f xml:space="preserve">
IF(OR('Dados da OS'!$D$8=Parâmetros!$B$3,'Dados da OS'!$D$8=Parâmetros!$B$4),
  IF(OR(ISBLANK(D421),ISBLANK(F421)),
     IF(OR(B421="ALI",B421="AIE"),"L",IF(ISBLANK(B421),"","A")),
     IF(B421="EE",IF(F421&gt;=3,IF(D421&gt;=5,"H","A"),
     IF(F421&gt;=2,IF(D421&gt;=16,"H",IF(D421&lt;=4,"L","A")),IF(D421&lt;=15,"L","A"))),
     IF(OR(B421="SE",B421="CE"),IF(F421&gt;=4,IF(D421&gt;=6,"H","A"),IF(F421&gt;=2,IF(D421&gt;=20,"H",IF(D421&lt;=5,"L","A")),IF(D421&lt;=19,"L","A"))),
     IF(OR(B421="ALI",B421="AIE"),IF(F421&gt;=6,IF(D421&gt;=20,"H","A"),IF(F421&gt;=2,IF(D421&gt;=51,"H",IF(D421&lt;=19,"L","A")),IF(D421&lt;=50,"L","A"))))))),
IF('Dados da OS'!$D$8=Parâmetros!$B$6,"Indicativa",
IF('Dados da OS'!$D$8=Parâmetros!$B$5,"PFS","")))</f>
        <v/>
      </c>
      <c r="M421" s="57">
        <f>IFERROR(VLOOKUP(C421,'Fatores de Impacto e INMs'!$A$3:$D$32,3,0),1)</f>
        <v>1</v>
      </c>
      <c r="N421" s="57">
        <f>IFERROR(VLOOKUP(C421,'Fatores de Impacto e INMs'!$A$3:$E$32,5,0),1)</f>
        <v>1</v>
      </c>
      <c r="O421" s="63" t="str">
        <f xml:space="preserve">
IF(OR('Dados da OS'!$D$8="Selecione o tipo da contagem",ISBLANK('Dados da OS'!$D$8),B421="INM",B421="N/A",ISBLANK(B421),ISBLANK(C421),N421="VF"),"-",
   IF('Dados da OS'!$D$8=Parâmetros!$B$3,
      IF(OR(ISBLANK(D421),ISBLANK(F421)),"-",
         IF(L421="L","Baixa",IF(L421="A","Média",IF(L421="H","Alta","-")))),
      IF('Dados da OS'!$D$8=Parâmetros!$B$4,
         IF(OR(B421="ALI",B421="AIE"),"Baixa",IF(OR(B421="EE",B421="SE",B421="CE"),"Média","-")),
         IF(OR('Dados da OS'!$D$8=Parâmetros!$B$5,'Dados da OS'!$D$8=Parâmetros!$B$6),"-"))))</f>
        <v>-</v>
      </c>
      <c r="P421" s="59" t="str">
        <f xml:space="preserve">
IF(OR(ISBLANK(B421),ISBLANK(C421),B421="N/A",ISBLANK('Dados da OS'!$D$8)),"",
   IF(OR('Dados da OS'!$D$8=Parâmetros!$B$3,'Dados da OS'!$D$8=Parâmetros!$B$4),
      IF(OR(AND(B421="INM",N421&lt;&gt;"VF"),AND(N421="VF",B421&lt;&gt;"INM")),"",
        IF(AND(B421="INM",N421="VF"),IF(ISBLANK(H421),"",M421*H421),
        IF('Dados da OS'!$D$8=Parâmetros!$B$4,
           IF(OR(B421="CE",B421="EE"),4,IF(B421="SE",5,IF(B421="ALI",7,IF(B421="AIE",5,"")))),
        IF('Dados da OS'!$D$8=Parâmetros!$B$3,
           IF(OR(ISBLANK(D421),ISBLANK(F421)),"",
              IF(B421="ALI",IF(L421="L",7,IF(L421="A",10,15)),
                 IF(B421="AIE",IF(L421="L",5,IF(L421="A",7,10)),
                    IF(B421="SE",IF(L421="L",4,IF(L421="A",5,7)),
                       IF(OR(B421="EE",B421="CE"),IF(L421="L",3,IF(L421="A",4,6)),""))))))))),
   IF('Dados da OS'!$D$8=Parâmetros!$B$5,
      IF(OR(AND(B421="INM",N421&lt;&gt;"VF"),AND(N421="VF",B421&lt;&gt;"INM")),"",
         IF(B421="INM",IF(N421="VF",M421*H421,""),
            IF(B421="PE",4.6,
            IF(B421="AL",7,"")))),
   IF('Dados da OS'!$D$8=Parâmetros!$B$6,
      IF(B421="ALI",35,IF(B421="AIE",15,"")),""))
    )
)</f>
        <v/>
      </c>
      <c r="Q421" s="60" t="str">
        <f t="shared" si="43"/>
        <v/>
      </c>
      <c r="R421" s="61"/>
      <c r="S421" s="62"/>
      <c r="T421" s="80" t="s">
        <v>21</v>
      </c>
      <c r="U421" s="81"/>
      <c r="V421" s="99"/>
      <c r="W421" s="55"/>
      <c r="X421" s="55"/>
      <c r="Y421" s="56"/>
      <c r="Z421" s="55"/>
      <c r="AA421" s="56"/>
      <c r="AB421" s="55"/>
      <c r="AC421" s="57" t="str">
        <f t="shared" si="44"/>
        <v/>
      </c>
      <c r="AD421" s="57" t="str">
        <f t="shared" si="45"/>
        <v/>
      </c>
      <c r="AE421" s="57" t="str">
        <f xml:space="preserve">
IF(OR('Dados da OS'!$D$8=Parâmetros!$B$3,'Dados da OS'!$D$8=Parâmetros!$B$4),
  IF(OR(ISBLANK(X421),ISBLANK(Z421)),
     IF(OR(V421="ALI",V421="AIE"),"L",IF(ISBLANK(V421),"","A")),
     IF(V421="EE",IF(Z421&gt;=3,IF(X421&gt;=5,"H","A"),
     IF(Z421&gt;=2,IF(X421&gt;=16,"H",IF(X421&lt;=4,"L","A")),IF(X421&lt;=15,"L","A"))),
     IF(OR(V421="SE",V421="CE"),IF(Z421&gt;=4,IF(X421&gt;=6,"H","A"),IF(Z421&gt;=2,IF(X421&gt;=20,"H",IF(X421&lt;=5,"L","A")),IF(X421&lt;=19,"L","A"))),
     IF(OR(V421="ALI",V421="AIE"),IF(Z421&gt;=6,IF(X421&gt;=20,"H","A"),IF(Z421&gt;=2,IF(X421&gt;=51,"H",IF(X421&lt;=19,"L","A")),IF(X421&lt;=50,"L","A"))))))),
IF('Dados da OS'!$D$8=Parâmetros!$B$6,"Indicativa",
IF('Dados da OS'!$D$8=Parâmetros!$B$5,"PFS","")))</f>
        <v/>
      </c>
      <c r="AF421" s="57">
        <f>IFERROR(VLOOKUP(W421,'Fatores de Impacto e INMs'!$A$3:$D$32,3,0),1)</f>
        <v>1</v>
      </c>
      <c r="AG421" s="57">
        <f>IFERROR(VLOOKUP(W421,'Fatores de Impacto e INMs'!$A$3:$E$32,5,0),1)</f>
        <v>1</v>
      </c>
      <c r="AH421" s="82" t="str">
        <f xml:space="preserve">
IF(OR('Dados da OS'!$D$8="Selecione o tipo da contagem",ISBLANK('Dados da OS'!$D$8),V421="INM",V421="N/A",ISBLANK(V421),ISBLANK(W421),AG421="VF"),"-",
   IF('Dados da OS'!$D$8=Parâmetros!$B$3,
      IF(OR(ISBLANK(X421),ISBLANK(Z421)),"-",
         IF(AE421="L","Baixa",IF(AE421="A","Média",IF(AE421="H","Alta","-")))),
      IF('Dados da OS'!$D$8=Parâmetros!$B$4,
         IF(OR(V421="ALI",V421="AIE"),"Baixa",IF(OR(V421="EE",V421="SE",V421="CE"),"Média","-")),
         IF(OR('Dados da OS'!$D$8=Parâmetros!$B$5,'Dados da OS'!$D$8=Parâmetros!$B$6),"-"))))</f>
        <v>-</v>
      </c>
      <c r="AI421" s="83" t="str">
        <f xml:space="preserve">
IF(OR(ISBLANK(V421),ISBLANK(U421),ISBLANK(W421),V421="N/A",ISBLANK('Dados da OS'!$D$8)),"",
   IF(OR('Dados da OS'!$D$8=Parâmetros!$B$3,'Dados da OS'!$D$8=Parâmetros!$B$4),
      IF(OR(AND(V421="INM",AG421&lt;&gt;"VF"),AND(AG421="VF",V421&lt;&gt;"INM")),"",
        IF(AND(V421="INM",AG421="VF"),IF(ISBLANK(AB421),"",AF421*AB421),
        IF('Dados da OS'!$D$8=Parâmetros!$B$4,
           IF(OR(V421="CE",V421="EE"),4,IF(V421="SE",5,IF(V421="ALI",7,IF(V421="AIE",5,"")))),
        IF('Dados da OS'!$D$8=Parâmetros!$B$3,
           IF(OR(ISBLANK(X421),ISBLANK(Z421)),"",
              IF(V421="ALI",IF(AE421="L",7,IF(AE421="A",10,15)),
                 IF(V421="AIE",IF(AE421="L",5,IF(AE421="A",7,10)),
                    IF(V421="SE",IF(AE421="L",4,IF(AE421="A",5,7)),
                       IF(OR(V421="EE",V421="CE"),IF(AE421="L",3,IF(AE421="A",4,6)),""))))))))),
   IF('Dados da OS'!$D$8=Parâmetros!$B$5,
      IF(OR(AND(V421="INM",AG421&lt;&gt;"VF"),AND(AG421="VF",V421&lt;&gt;"INM")),"",
         IF(V421="INM",IF(AG421="VF",AF421*AB421,""),
            IF(V421="PE",4.6,
            IF(V421="AL",7,"")))),
   IF('Dados da OS'!$D$8=Parâmetros!$B$6,
      IF(V421="ALI",35,IF(V421="AIE",15,"")),""))
    )
)</f>
        <v/>
      </c>
      <c r="AJ421" s="82" t="str">
        <f t="shared" si="46"/>
        <v/>
      </c>
      <c r="AK421" s="84"/>
      <c r="AL421" s="85" t="s">
        <v>21</v>
      </c>
      <c r="AM421" s="86"/>
      <c r="AN421" s="85"/>
      <c r="AO421" s="87"/>
      <c r="AP421" s="85"/>
      <c r="AQ421" s="86"/>
      <c r="AR421" s="85"/>
    </row>
    <row r="422" spans="1:44" ht="15.75" customHeight="1">
      <c r="A422" s="54"/>
      <c r="B422" s="100"/>
      <c r="C422" s="55"/>
      <c r="D422" s="55"/>
      <c r="E422" s="56"/>
      <c r="F422" s="55"/>
      <c r="G422" s="56"/>
      <c r="H422" s="55"/>
      <c r="I422" s="64"/>
      <c r="J422" s="57" t="str">
        <f t="shared" si="41"/>
        <v/>
      </c>
      <c r="K422" s="57" t="str">
        <f t="shared" si="42"/>
        <v/>
      </c>
      <c r="L422" s="57" t="str">
        <f xml:space="preserve">
IF(OR('Dados da OS'!$D$8=Parâmetros!$B$3,'Dados da OS'!$D$8=Parâmetros!$B$4),
  IF(OR(ISBLANK(D422),ISBLANK(F422)),
     IF(OR(B422="ALI",B422="AIE"),"L",IF(ISBLANK(B422),"","A")),
     IF(B422="EE",IF(F422&gt;=3,IF(D422&gt;=5,"H","A"),
     IF(F422&gt;=2,IF(D422&gt;=16,"H",IF(D422&lt;=4,"L","A")),IF(D422&lt;=15,"L","A"))),
     IF(OR(B422="SE",B422="CE"),IF(F422&gt;=4,IF(D422&gt;=6,"H","A"),IF(F422&gt;=2,IF(D422&gt;=20,"H",IF(D422&lt;=5,"L","A")),IF(D422&lt;=19,"L","A"))),
     IF(OR(B422="ALI",B422="AIE"),IF(F422&gt;=6,IF(D422&gt;=20,"H","A"),IF(F422&gt;=2,IF(D422&gt;=51,"H",IF(D422&lt;=19,"L","A")),IF(D422&lt;=50,"L","A"))))))),
IF('Dados da OS'!$D$8=Parâmetros!$B$6,"Indicativa",
IF('Dados da OS'!$D$8=Parâmetros!$B$5,"PFS","")))</f>
        <v/>
      </c>
      <c r="M422" s="57">
        <f>IFERROR(VLOOKUP(C422,'Fatores de Impacto e INMs'!$A$3:$D$32,3,0),1)</f>
        <v>1</v>
      </c>
      <c r="N422" s="57">
        <f>IFERROR(VLOOKUP(C422,'Fatores de Impacto e INMs'!$A$3:$E$32,5,0),1)</f>
        <v>1</v>
      </c>
      <c r="O422" s="63" t="str">
        <f xml:space="preserve">
IF(OR('Dados da OS'!$D$8="Selecione o tipo da contagem",ISBLANK('Dados da OS'!$D$8),B422="INM",B422="N/A",ISBLANK(B422),ISBLANK(C422),N422="VF"),"-",
   IF('Dados da OS'!$D$8=Parâmetros!$B$3,
      IF(OR(ISBLANK(D422),ISBLANK(F422)),"-",
         IF(L422="L","Baixa",IF(L422="A","Média",IF(L422="H","Alta","-")))),
      IF('Dados da OS'!$D$8=Parâmetros!$B$4,
         IF(OR(B422="ALI",B422="AIE"),"Baixa",IF(OR(B422="EE",B422="SE",B422="CE"),"Média","-")),
         IF(OR('Dados da OS'!$D$8=Parâmetros!$B$5,'Dados da OS'!$D$8=Parâmetros!$B$6),"-"))))</f>
        <v>-</v>
      </c>
      <c r="P422" s="59" t="str">
        <f xml:space="preserve">
IF(OR(ISBLANK(B422),ISBLANK(C422),B422="N/A",ISBLANK('Dados da OS'!$D$8)),"",
   IF(OR('Dados da OS'!$D$8=Parâmetros!$B$3,'Dados da OS'!$D$8=Parâmetros!$B$4),
      IF(OR(AND(B422="INM",N422&lt;&gt;"VF"),AND(N422="VF",B422&lt;&gt;"INM")),"",
        IF(AND(B422="INM",N422="VF"),IF(ISBLANK(H422),"",M422*H422),
        IF('Dados da OS'!$D$8=Parâmetros!$B$4,
           IF(OR(B422="CE",B422="EE"),4,IF(B422="SE",5,IF(B422="ALI",7,IF(B422="AIE",5,"")))),
        IF('Dados da OS'!$D$8=Parâmetros!$B$3,
           IF(OR(ISBLANK(D422),ISBLANK(F422)),"",
              IF(B422="ALI",IF(L422="L",7,IF(L422="A",10,15)),
                 IF(B422="AIE",IF(L422="L",5,IF(L422="A",7,10)),
                    IF(B422="SE",IF(L422="L",4,IF(L422="A",5,7)),
                       IF(OR(B422="EE",B422="CE"),IF(L422="L",3,IF(L422="A",4,6)),""))))))))),
   IF('Dados da OS'!$D$8=Parâmetros!$B$5,
      IF(OR(AND(B422="INM",N422&lt;&gt;"VF"),AND(N422="VF",B422&lt;&gt;"INM")),"",
         IF(B422="INM",IF(N422="VF",M422*H422,""),
            IF(B422="PE",4.6,
            IF(B422="AL",7,"")))),
   IF('Dados da OS'!$D$8=Parâmetros!$B$6,
      IF(B422="ALI",35,IF(B422="AIE",15,"")),""))
    )
)</f>
        <v/>
      </c>
      <c r="Q422" s="60" t="str">
        <f t="shared" si="43"/>
        <v/>
      </c>
      <c r="R422" s="61"/>
      <c r="S422" s="62"/>
      <c r="T422" s="80" t="s">
        <v>21</v>
      </c>
      <c r="U422" s="81"/>
      <c r="V422" s="99"/>
      <c r="W422" s="55"/>
      <c r="X422" s="55"/>
      <c r="Y422" s="56"/>
      <c r="Z422" s="55"/>
      <c r="AA422" s="56"/>
      <c r="AB422" s="55"/>
      <c r="AC422" s="57" t="str">
        <f t="shared" si="44"/>
        <v/>
      </c>
      <c r="AD422" s="57" t="str">
        <f t="shared" si="45"/>
        <v/>
      </c>
      <c r="AE422" s="57" t="str">
        <f xml:space="preserve">
IF(OR('Dados da OS'!$D$8=Parâmetros!$B$3,'Dados da OS'!$D$8=Parâmetros!$B$4),
  IF(OR(ISBLANK(X422),ISBLANK(Z422)),
     IF(OR(V422="ALI",V422="AIE"),"L",IF(ISBLANK(V422),"","A")),
     IF(V422="EE",IF(Z422&gt;=3,IF(X422&gt;=5,"H","A"),
     IF(Z422&gt;=2,IF(X422&gt;=16,"H",IF(X422&lt;=4,"L","A")),IF(X422&lt;=15,"L","A"))),
     IF(OR(V422="SE",V422="CE"),IF(Z422&gt;=4,IF(X422&gt;=6,"H","A"),IF(Z422&gt;=2,IF(X422&gt;=20,"H",IF(X422&lt;=5,"L","A")),IF(X422&lt;=19,"L","A"))),
     IF(OR(V422="ALI",V422="AIE"),IF(Z422&gt;=6,IF(X422&gt;=20,"H","A"),IF(Z422&gt;=2,IF(X422&gt;=51,"H",IF(X422&lt;=19,"L","A")),IF(X422&lt;=50,"L","A"))))))),
IF('Dados da OS'!$D$8=Parâmetros!$B$6,"Indicativa",
IF('Dados da OS'!$D$8=Parâmetros!$B$5,"PFS","")))</f>
        <v/>
      </c>
      <c r="AF422" s="57">
        <f>IFERROR(VLOOKUP(W422,'Fatores de Impacto e INMs'!$A$3:$D$32,3,0),1)</f>
        <v>1</v>
      </c>
      <c r="AG422" s="57">
        <f>IFERROR(VLOOKUP(W422,'Fatores de Impacto e INMs'!$A$3:$E$32,5,0),1)</f>
        <v>1</v>
      </c>
      <c r="AH422" s="82" t="str">
        <f xml:space="preserve">
IF(OR('Dados da OS'!$D$8="Selecione o tipo da contagem",ISBLANK('Dados da OS'!$D$8),V422="INM",V422="N/A",ISBLANK(V422),ISBLANK(W422),AG422="VF"),"-",
   IF('Dados da OS'!$D$8=Parâmetros!$B$3,
      IF(OR(ISBLANK(X422),ISBLANK(Z422)),"-",
         IF(AE422="L","Baixa",IF(AE422="A","Média",IF(AE422="H","Alta","-")))),
      IF('Dados da OS'!$D$8=Parâmetros!$B$4,
         IF(OR(V422="ALI",V422="AIE"),"Baixa",IF(OR(V422="EE",V422="SE",V422="CE"),"Média","-")),
         IF(OR('Dados da OS'!$D$8=Parâmetros!$B$5,'Dados da OS'!$D$8=Parâmetros!$B$6),"-"))))</f>
        <v>-</v>
      </c>
      <c r="AI422" s="83" t="str">
        <f xml:space="preserve">
IF(OR(ISBLANK(V422),ISBLANK(U422),ISBLANK(W422),V422="N/A",ISBLANK('Dados da OS'!$D$8)),"",
   IF(OR('Dados da OS'!$D$8=Parâmetros!$B$3,'Dados da OS'!$D$8=Parâmetros!$B$4),
      IF(OR(AND(V422="INM",AG422&lt;&gt;"VF"),AND(AG422="VF",V422&lt;&gt;"INM")),"",
        IF(AND(V422="INM",AG422="VF"),IF(ISBLANK(AB422),"",AF422*AB422),
        IF('Dados da OS'!$D$8=Parâmetros!$B$4,
           IF(OR(V422="CE",V422="EE"),4,IF(V422="SE",5,IF(V422="ALI",7,IF(V422="AIE",5,"")))),
        IF('Dados da OS'!$D$8=Parâmetros!$B$3,
           IF(OR(ISBLANK(X422),ISBLANK(Z422)),"",
              IF(V422="ALI",IF(AE422="L",7,IF(AE422="A",10,15)),
                 IF(V422="AIE",IF(AE422="L",5,IF(AE422="A",7,10)),
                    IF(V422="SE",IF(AE422="L",4,IF(AE422="A",5,7)),
                       IF(OR(V422="EE",V422="CE"),IF(AE422="L",3,IF(AE422="A",4,6)),""))))))))),
   IF('Dados da OS'!$D$8=Parâmetros!$B$5,
      IF(OR(AND(V422="INM",AG422&lt;&gt;"VF"),AND(AG422="VF",V422&lt;&gt;"INM")),"",
         IF(V422="INM",IF(AG422="VF",AF422*AB422,""),
            IF(V422="PE",4.6,
            IF(V422="AL",7,"")))),
   IF('Dados da OS'!$D$8=Parâmetros!$B$6,
      IF(V422="ALI",35,IF(V422="AIE",15,"")),""))
    )
)</f>
        <v/>
      </c>
      <c r="AJ422" s="82" t="str">
        <f t="shared" si="46"/>
        <v/>
      </c>
      <c r="AK422" s="84"/>
      <c r="AL422" s="85" t="s">
        <v>21</v>
      </c>
      <c r="AM422" s="86"/>
      <c r="AN422" s="85"/>
      <c r="AO422" s="87"/>
      <c r="AP422" s="85"/>
      <c r="AQ422" s="86"/>
      <c r="AR422" s="85"/>
    </row>
    <row r="423" spans="1:44" ht="15.75" customHeight="1">
      <c r="A423" s="54"/>
      <c r="B423" s="100"/>
      <c r="C423" s="55"/>
      <c r="D423" s="55"/>
      <c r="E423" s="56"/>
      <c r="F423" s="55"/>
      <c r="G423" s="56"/>
      <c r="H423" s="55"/>
      <c r="I423" s="64"/>
      <c r="J423" s="57" t="str">
        <f t="shared" si="41"/>
        <v/>
      </c>
      <c r="K423" s="57" t="str">
        <f t="shared" si="42"/>
        <v/>
      </c>
      <c r="L423" s="57" t="str">
        <f xml:space="preserve">
IF(OR('Dados da OS'!$D$8=Parâmetros!$B$3,'Dados da OS'!$D$8=Parâmetros!$B$4),
  IF(OR(ISBLANK(D423),ISBLANK(F423)),
     IF(OR(B423="ALI",B423="AIE"),"L",IF(ISBLANK(B423),"","A")),
     IF(B423="EE",IF(F423&gt;=3,IF(D423&gt;=5,"H","A"),
     IF(F423&gt;=2,IF(D423&gt;=16,"H",IF(D423&lt;=4,"L","A")),IF(D423&lt;=15,"L","A"))),
     IF(OR(B423="SE",B423="CE"),IF(F423&gt;=4,IF(D423&gt;=6,"H","A"),IF(F423&gt;=2,IF(D423&gt;=20,"H",IF(D423&lt;=5,"L","A")),IF(D423&lt;=19,"L","A"))),
     IF(OR(B423="ALI",B423="AIE"),IF(F423&gt;=6,IF(D423&gt;=20,"H","A"),IF(F423&gt;=2,IF(D423&gt;=51,"H",IF(D423&lt;=19,"L","A")),IF(D423&lt;=50,"L","A"))))))),
IF('Dados da OS'!$D$8=Parâmetros!$B$6,"Indicativa",
IF('Dados da OS'!$D$8=Parâmetros!$B$5,"PFS","")))</f>
        <v/>
      </c>
      <c r="M423" s="57">
        <f>IFERROR(VLOOKUP(C423,'Fatores de Impacto e INMs'!$A$3:$D$32,3,0),1)</f>
        <v>1</v>
      </c>
      <c r="N423" s="57">
        <f>IFERROR(VLOOKUP(C423,'Fatores de Impacto e INMs'!$A$3:$E$32,5,0),1)</f>
        <v>1</v>
      </c>
      <c r="O423" s="63" t="str">
        <f xml:space="preserve">
IF(OR('Dados da OS'!$D$8="Selecione o tipo da contagem",ISBLANK('Dados da OS'!$D$8),B423="INM",B423="N/A",ISBLANK(B423),ISBLANK(C423),N423="VF"),"-",
   IF('Dados da OS'!$D$8=Parâmetros!$B$3,
      IF(OR(ISBLANK(D423),ISBLANK(F423)),"-",
         IF(L423="L","Baixa",IF(L423="A","Média",IF(L423="H","Alta","-")))),
      IF('Dados da OS'!$D$8=Parâmetros!$B$4,
         IF(OR(B423="ALI",B423="AIE"),"Baixa",IF(OR(B423="EE",B423="SE",B423="CE"),"Média","-")),
         IF(OR('Dados da OS'!$D$8=Parâmetros!$B$5,'Dados da OS'!$D$8=Parâmetros!$B$6),"-"))))</f>
        <v>-</v>
      </c>
      <c r="P423" s="59" t="str">
        <f xml:space="preserve">
IF(OR(ISBLANK(B423),ISBLANK(C423),B423="N/A",ISBLANK('Dados da OS'!$D$8)),"",
   IF(OR('Dados da OS'!$D$8=Parâmetros!$B$3,'Dados da OS'!$D$8=Parâmetros!$B$4),
      IF(OR(AND(B423="INM",N423&lt;&gt;"VF"),AND(N423="VF",B423&lt;&gt;"INM")),"",
        IF(AND(B423="INM",N423="VF"),IF(ISBLANK(H423),"",M423*H423),
        IF('Dados da OS'!$D$8=Parâmetros!$B$4,
           IF(OR(B423="CE",B423="EE"),4,IF(B423="SE",5,IF(B423="ALI",7,IF(B423="AIE",5,"")))),
        IF('Dados da OS'!$D$8=Parâmetros!$B$3,
           IF(OR(ISBLANK(D423),ISBLANK(F423)),"",
              IF(B423="ALI",IF(L423="L",7,IF(L423="A",10,15)),
                 IF(B423="AIE",IF(L423="L",5,IF(L423="A",7,10)),
                    IF(B423="SE",IF(L423="L",4,IF(L423="A",5,7)),
                       IF(OR(B423="EE",B423="CE"),IF(L423="L",3,IF(L423="A",4,6)),""))))))))),
   IF('Dados da OS'!$D$8=Parâmetros!$B$5,
      IF(OR(AND(B423="INM",N423&lt;&gt;"VF"),AND(N423="VF",B423&lt;&gt;"INM")),"",
         IF(B423="INM",IF(N423="VF",M423*H423,""),
            IF(B423="PE",4.6,
            IF(B423="AL",7,"")))),
   IF('Dados da OS'!$D$8=Parâmetros!$B$6,
      IF(B423="ALI",35,IF(B423="AIE",15,"")),""))
    )
)</f>
        <v/>
      </c>
      <c r="Q423" s="60" t="str">
        <f t="shared" si="43"/>
        <v/>
      </c>
      <c r="R423" s="61"/>
      <c r="S423" s="62"/>
      <c r="T423" s="80" t="s">
        <v>21</v>
      </c>
      <c r="U423" s="81"/>
      <c r="V423" s="99"/>
      <c r="W423" s="55"/>
      <c r="X423" s="55"/>
      <c r="Y423" s="56"/>
      <c r="Z423" s="55"/>
      <c r="AA423" s="56"/>
      <c r="AB423" s="55"/>
      <c r="AC423" s="57" t="str">
        <f t="shared" si="44"/>
        <v/>
      </c>
      <c r="AD423" s="57" t="str">
        <f t="shared" si="45"/>
        <v/>
      </c>
      <c r="AE423" s="57" t="str">
        <f xml:space="preserve">
IF(OR('Dados da OS'!$D$8=Parâmetros!$B$3,'Dados da OS'!$D$8=Parâmetros!$B$4),
  IF(OR(ISBLANK(X423),ISBLANK(Z423)),
     IF(OR(V423="ALI",V423="AIE"),"L",IF(ISBLANK(V423),"","A")),
     IF(V423="EE",IF(Z423&gt;=3,IF(X423&gt;=5,"H","A"),
     IF(Z423&gt;=2,IF(X423&gt;=16,"H",IF(X423&lt;=4,"L","A")),IF(X423&lt;=15,"L","A"))),
     IF(OR(V423="SE",V423="CE"),IF(Z423&gt;=4,IF(X423&gt;=6,"H","A"),IF(Z423&gt;=2,IF(X423&gt;=20,"H",IF(X423&lt;=5,"L","A")),IF(X423&lt;=19,"L","A"))),
     IF(OR(V423="ALI",V423="AIE"),IF(Z423&gt;=6,IF(X423&gt;=20,"H","A"),IF(Z423&gt;=2,IF(X423&gt;=51,"H",IF(X423&lt;=19,"L","A")),IF(X423&lt;=50,"L","A"))))))),
IF('Dados da OS'!$D$8=Parâmetros!$B$6,"Indicativa",
IF('Dados da OS'!$D$8=Parâmetros!$B$5,"PFS","")))</f>
        <v/>
      </c>
      <c r="AF423" s="57">
        <f>IFERROR(VLOOKUP(W423,'Fatores de Impacto e INMs'!$A$3:$D$32,3,0),1)</f>
        <v>1</v>
      </c>
      <c r="AG423" s="57">
        <f>IFERROR(VLOOKUP(W423,'Fatores de Impacto e INMs'!$A$3:$E$32,5,0),1)</f>
        <v>1</v>
      </c>
      <c r="AH423" s="82" t="str">
        <f xml:space="preserve">
IF(OR('Dados da OS'!$D$8="Selecione o tipo da contagem",ISBLANK('Dados da OS'!$D$8),V423="INM",V423="N/A",ISBLANK(V423),ISBLANK(W423),AG423="VF"),"-",
   IF('Dados da OS'!$D$8=Parâmetros!$B$3,
      IF(OR(ISBLANK(X423),ISBLANK(Z423)),"-",
         IF(AE423="L","Baixa",IF(AE423="A","Média",IF(AE423="H","Alta","-")))),
      IF('Dados da OS'!$D$8=Parâmetros!$B$4,
         IF(OR(V423="ALI",V423="AIE"),"Baixa",IF(OR(V423="EE",V423="SE",V423="CE"),"Média","-")),
         IF(OR('Dados da OS'!$D$8=Parâmetros!$B$5,'Dados da OS'!$D$8=Parâmetros!$B$6),"-"))))</f>
        <v>-</v>
      </c>
      <c r="AI423" s="83" t="str">
        <f xml:space="preserve">
IF(OR(ISBLANK(V423),ISBLANK(U423),ISBLANK(W423),V423="N/A",ISBLANK('Dados da OS'!$D$8)),"",
   IF(OR('Dados da OS'!$D$8=Parâmetros!$B$3,'Dados da OS'!$D$8=Parâmetros!$B$4),
      IF(OR(AND(V423="INM",AG423&lt;&gt;"VF"),AND(AG423="VF",V423&lt;&gt;"INM")),"",
        IF(AND(V423="INM",AG423="VF"),IF(ISBLANK(AB423),"",AF423*AB423),
        IF('Dados da OS'!$D$8=Parâmetros!$B$4,
           IF(OR(V423="CE",V423="EE"),4,IF(V423="SE",5,IF(V423="ALI",7,IF(V423="AIE",5,"")))),
        IF('Dados da OS'!$D$8=Parâmetros!$B$3,
           IF(OR(ISBLANK(X423),ISBLANK(Z423)),"",
              IF(V423="ALI",IF(AE423="L",7,IF(AE423="A",10,15)),
                 IF(V423="AIE",IF(AE423="L",5,IF(AE423="A",7,10)),
                    IF(V423="SE",IF(AE423="L",4,IF(AE423="A",5,7)),
                       IF(OR(V423="EE",V423="CE"),IF(AE423="L",3,IF(AE423="A",4,6)),""))))))))),
   IF('Dados da OS'!$D$8=Parâmetros!$B$5,
      IF(OR(AND(V423="INM",AG423&lt;&gt;"VF"),AND(AG423="VF",V423&lt;&gt;"INM")),"",
         IF(V423="INM",IF(AG423="VF",AF423*AB423,""),
            IF(V423="PE",4.6,
            IF(V423="AL",7,"")))),
   IF('Dados da OS'!$D$8=Parâmetros!$B$6,
      IF(V423="ALI",35,IF(V423="AIE",15,"")),""))
    )
)</f>
        <v/>
      </c>
      <c r="AJ423" s="82" t="str">
        <f t="shared" si="46"/>
        <v/>
      </c>
      <c r="AK423" s="84"/>
      <c r="AL423" s="85" t="s">
        <v>21</v>
      </c>
      <c r="AM423" s="86"/>
      <c r="AN423" s="85"/>
      <c r="AO423" s="87"/>
      <c r="AP423" s="85"/>
      <c r="AQ423" s="86"/>
      <c r="AR423" s="85"/>
    </row>
    <row r="424" spans="1:44" ht="15.75" customHeight="1">
      <c r="A424" s="54"/>
      <c r="B424" s="100"/>
      <c r="C424" s="55"/>
      <c r="D424" s="55"/>
      <c r="E424" s="56"/>
      <c r="F424" s="55"/>
      <c r="G424" s="56"/>
      <c r="H424" s="55"/>
      <c r="I424" s="64"/>
      <c r="J424" s="57" t="str">
        <f t="shared" si="41"/>
        <v/>
      </c>
      <c r="K424" s="57" t="str">
        <f t="shared" si="42"/>
        <v/>
      </c>
      <c r="L424" s="57" t="str">
        <f xml:space="preserve">
IF(OR('Dados da OS'!$D$8=Parâmetros!$B$3,'Dados da OS'!$D$8=Parâmetros!$B$4),
  IF(OR(ISBLANK(D424),ISBLANK(F424)),
     IF(OR(B424="ALI",B424="AIE"),"L",IF(ISBLANK(B424),"","A")),
     IF(B424="EE",IF(F424&gt;=3,IF(D424&gt;=5,"H","A"),
     IF(F424&gt;=2,IF(D424&gt;=16,"H",IF(D424&lt;=4,"L","A")),IF(D424&lt;=15,"L","A"))),
     IF(OR(B424="SE",B424="CE"),IF(F424&gt;=4,IF(D424&gt;=6,"H","A"),IF(F424&gt;=2,IF(D424&gt;=20,"H",IF(D424&lt;=5,"L","A")),IF(D424&lt;=19,"L","A"))),
     IF(OR(B424="ALI",B424="AIE"),IF(F424&gt;=6,IF(D424&gt;=20,"H","A"),IF(F424&gt;=2,IF(D424&gt;=51,"H",IF(D424&lt;=19,"L","A")),IF(D424&lt;=50,"L","A"))))))),
IF('Dados da OS'!$D$8=Parâmetros!$B$6,"Indicativa",
IF('Dados da OS'!$D$8=Parâmetros!$B$5,"PFS","")))</f>
        <v/>
      </c>
      <c r="M424" s="57">
        <f>IFERROR(VLOOKUP(C424,'Fatores de Impacto e INMs'!$A$3:$D$32,3,0),1)</f>
        <v>1</v>
      </c>
      <c r="N424" s="57">
        <f>IFERROR(VLOOKUP(C424,'Fatores de Impacto e INMs'!$A$3:$E$32,5,0),1)</f>
        <v>1</v>
      </c>
      <c r="O424" s="63" t="str">
        <f xml:space="preserve">
IF(OR('Dados da OS'!$D$8="Selecione o tipo da contagem",ISBLANK('Dados da OS'!$D$8),B424="INM",B424="N/A",ISBLANK(B424),ISBLANK(C424),N424="VF"),"-",
   IF('Dados da OS'!$D$8=Parâmetros!$B$3,
      IF(OR(ISBLANK(D424),ISBLANK(F424)),"-",
         IF(L424="L","Baixa",IF(L424="A","Média",IF(L424="H","Alta","-")))),
      IF('Dados da OS'!$D$8=Parâmetros!$B$4,
         IF(OR(B424="ALI",B424="AIE"),"Baixa",IF(OR(B424="EE",B424="SE",B424="CE"),"Média","-")),
         IF(OR('Dados da OS'!$D$8=Parâmetros!$B$5,'Dados da OS'!$D$8=Parâmetros!$B$6),"-"))))</f>
        <v>-</v>
      </c>
      <c r="P424" s="59" t="str">
        <f xml:space="preserve">
IF(OR(ISBLANK(B424),ISBLANK(C424),B424="N/A",ISBLANK('Dados da OS'!$D$8)),"",
   IF(OR('Dados da OS'!$D$8=Parâmetros!$B$3,'Dados da OS'!$D$8=Parâmetros!$B$4),
      IF(OR(AND(B424="INM",N424&lt;&gt;"VF"),AND(N424="VF",B424&lt;&gt;"INM")),"",
        IF(AND(B424="INM",N424="VF"),IF(ISBLANK(H424),"",M424*H424),
        IF('Dados da OS'!$D$8=Parâmetros!$B$4,
           IF(OR(B424="CE",B424="EE"),4,IF(B424="SE",5,IF(B424="ALI",7,IF(B424="AIE",5,"")))),
        IF('Dados da OS'!$D$8=Parâmetros!$B$3,
           IF(OR(ISBLANK(D424),ISBLANK(F424)),"",
              IF(B424="ALI",IF(L424="L",7,IF(L424="A",10,15)),
                 IF(B424="AIE",IF(L424="L",5,IF(L424="A",7,10)),
                    IF(B424="SE",IF(L424="L",4,IF(L424="A",5,7)),
                       IF(OR(B424="EE",B424="CE"),IF(L424="L",3,IF(L424="A",4,6)),""))))))))),
   IF('Dados da OS'!$D$8=Parâmetros!$B$5,
      IF(OR(AND(B424="INM",N424&lt;&gt;"VF"),AND(N424="VF",B424&lt;&gt;"INM")),"",
         IF(B424="INM",IF(N424="VF",M424*H424,""),
            IF(B424="PE",4.6,
            IF(B424="AL",7,"")))),
   IF('Dados da OS'!$D$8=Parâmetros!$B$6,
      IF(B424="ALI",35,IF(B424="AIE",15,"")),""))
    )
)</f>
        <v/>
      </c>
      <c r="Q424" s="60" t="str">
        <f t="shared" si="43"/>
        <v/>
      </c>
      <c r="R424" s="61"/>
      <c r="S424" s="62"/>
      <c r="T424" s="80" t="s">
        <v>21</v>
      </c>
      <c r="U424" s="81"/>
      <c r="V424" s="99"/>
      <c r="W424" s="55"/>
      <c r="X424" s="55"/>
      <c r="Y424" s="56"/>
      <c r="Z424" s="55"/>
      <c r="AA424" s="56"/>
      <c r="AB424" s="55"/>
      <c r="AC424" s="57" t="str">
        <f t="shared" si="44"/>
        <v/>
      </c>
      <c r="AD424" s="57" t="str">
        <f t="shared" si="45"/>
        <v/>
      </c>
      <c r="AE424" s="57" t="str">
        <f xml:space="preserve">
IF(OR('Dados da OS'!$D$8=Parâmetros!$B$3,'Dados da OS'!$D$8=Parâmetros!$B$4),
  IF(OR(ISBLANK(X424),ISBLANK(Z424)),
     IF(OR(V424="ALI",V424="AIE"),"L",IF(ISBLANK(V424),"","A")),
     IF(V424="EE",IF(Z424&gt;=3,IF(X424&gt;=5,"H","A"),
     IF(Z424&gt;=2,IF(X424&gt;=16,"H",IF(X424&lt;=4,"L","A")),IF(X424&lt;=15,"L","A"))),
     IF(OR(V424="SE",V424="CE"),IF(Z424&gt;=4,IF(X424&gt;=6,"H","A"),IF(Z424&gt;=2,IF(X424&gt;=20,"H",IF(X424&lt;=5,"L","A")),IF(X424&lt;=19,"L","A"))),
     IF(OR(V424="ALI",V424="AIE"),IF(Z424&gt;=6,IF(X424&gt;=20,"H","A"),IF(Z424&gt;=2,IF(X424&gt;=51,"H",IF(X424&lt;=19,"L","A")),IF(X424&lt;=50,"L","A"))))))),
IF('Dados da OS'!$D$8=Parâmetros!$B$6,"Indicativa",
IF('Dados da OS'!$D$8=Parâmetros!$B$5,"PFS","")))</f>
        <v/>
      </c>
      <c r="AF424" s="57">
        <f>IFERROR(VLOOKUP(W424,'Fatores de Impacto e INMs'!$A$3:$D$32,3,0),1)</f>
        <v>1</v>
      </c>
      <c r="AG424" s="57">
        <f>IFERROR(VLOOKUP(W424,'Fatores de Impacto e INMs'!$A$3:$E$32,5,0),1)</f>
        <v>1</v>
      </c>
      <c r="AH424" s="82" t="str">
        <f xml:space="preserve">
IF(OR('Dados da OS'!$D$8="Selecione o tipo da contagem",ISBLANK('Dados da OS'!$D$8),V424="INM",V424="N/A",ISBLANK(V424),ISBLANK(W424),AG424="VF"),"-",
   IF('Dados da OS'!$D$8=Parâmetros!$B$3,
      IF(OR(ISBLANK(X424),ISBLANK(Z424)),"-",
         IF(AE424="L","Baixa",IF(AE424="A","Média",IF(AE424="H","Alta","-")))),
      IF('Dados da OS'!$D$8=Parâmetros!$B$4,
         IF(OR(V424="ALI",V424="AIE"),"Baixa",IF(OR(V424="EE",V424="SE",V424="CE"),"Média","-")),
         IF(OR('Dados da OS'!$D$8=Parâmetros!$B$5,'Dados da OS'!$D$8=Parâmetros!$B$6),"-"))))</f>
        <v>-</v>
      </c>
      <c r="AI424" s="83" t="str">
        <f xml:space="preserve">
IF(OR(ISBLANK(V424),ISBLANK(U424),ISBLANK(W424),V424="N/A",ISBLANK('Dados da OS'!$D$8)),"",
   IF(OR('Dados da OS'!$D$8=Parâmetros!$B$3,'Dados da OS'!$D$8=Parâmetros!$B$4),
      IF(OR(AND(V424="INM",AG424&lt;&gt;"VF"),AND(AG424="VF",V424&lt;&gt;"INM")),"",
        IF(AND(V424="INM",AG424="VF"),IF(ISBLANK(AB424),"",AF424*AB424),
        IF('Dados da OS'!$D$8=Parâmetros!$B$4,
           IF(OR(V424="CE",V424="EE"),4,IF(V424="SE",5,IF(V424="ALI",7,IF(V424="AIE",5,"")))),
        IF('Dados da OS'!$D$8=Parâmetros!$B$3,
           IF(OR(ISBLANK(X424),ISBLANK(Z424)),"",
              IF(V424="ALI",IF(AE424="L",7,IF(AE424="A",10,15)),
                 IF(V424="AIE",IF(AE424="L",5,IF(AE424="A",7,10)),
                    IF(V424="SE",IF(AE424="L",4,IF(AE424="A",5,7)),
                       IF(OR(V424="EE",V424="CE"),IF(AE424="L",3,IF(AE424="A",4,6)),""))))))))),
   IF('Dados da OS'!$D$8=Parâmetros!$B$5,
      IF(OR(AND(V424="INM",AG424&lt;&gt;"VF"),AND(AG424="VF",V424&lt;&gt;"INM")),"",
         IF(V424="INM",IF(AG424="VF",AF424*AB424,""),
            IF(V424="PE",4.6,
            IF(V424="AL",7,"")))),
   IF('Dados da OS'!$D$8=Parâmetros!$B$6,
      IF(V424="ALI",35,IF(V424="AIE",15,"")),""))
    )
)</f>
        <v/>
      </c>
      <c r="AJ424" s="82" t="str">
        <f t="shared" si="46"/>
        <v/>
      </c>
      <c r="AK424" s="84"/>
      <c r="AL424" s="85" t="s">
        <v>21</v>
      </c>
      <c r="AM424" s="86"/>
      <c r="AN424" s="85"/>
      <c r="AO424" s="87"/>
      <c r="AP424" s="85"/>
      <c r="AQ424" s="86"/>
      <c r="AR424" s="85"/>
    </row>
    <row r="425" spans="1:44" ht="15.75" customHeight="1">
      <c r="A425" s="54"/>
      <c r="B425" s="100"/>
      <c r="C425" s="55"/>
      <c r="D425" s="55"/>
      <c r="E425" s="56"/>
      <c r="F425" s="55"/>
      <c r="G425" s="56"/>
      <c r="H425" s="55"/>
      <c r="I425" s="64"/>
      <c r="J425" s="57" t="str">
        <f t="shared" si="41"/>
        <v/>
      </c>
      <c r="K425" s="57" t="str">
        <f t="shared" si="42"/>
        <v/>
      </c>
      <c r="L425" s="57" t="str">
        <f xml:space="preserve">
IF(OR('Dados da OS'!$D$8=Parâmetros!$B$3,'Dados da OS'!$D$8=Parâmetros!$B$4),
  IF(OR(ISBLANK(D425),ISBLANK(F425)),
     IF(OR(B425="ALI",B425="AIE"),"L",IF(ISBLANK(B425),"","A")),
     IF(B425="EE",IF(F425&gt;=3,IF(D425&gt;=5,"H","A"),
     IF(F425&gt;=2,IF(D425&gt;=16,"H",IF(D425&lt;=4,"L","A")),IF(D425&lt;=15,"L","A"))),
     IF(OR(B425="SE",B425="CE"),IF(F425&gt;=4,IF(D425&gt;=6,"H","A"),IF(F425&gt;=2,IF(D425&gt;=20,"H",IF(D425&lt;=5,"L","A")),IF(D425&lt;=19,"L","A"))),
     IF(OR(B425="ALI",B425="AIE"),IF(F425&gt;=6,IF(D425&gt;=20,"H","A"),IF(F425&gt;=2,IF(D425&gt;=51,"H",IF(D425&lt;=19,"L","A")),IF(D425&lt;=50,"L","A"))))))),
IF('Dados da OS'!$D$8=Parâmetros!$B$6,"Indicativa",
IF('Dados da OS'!$D$8=Parâmetros!$B$5,"PFS","")))</f>
        <v/>
      </c>
      <c r="M425" s="57">
        <f>IFERROR(VLOOKUP(C425,'Fatores de Impacto e INMs'!$A$3:$D$32,3,0),1)</f>
        <v>1</v>
      </c>
      <c r="N425" s="57">
        <f>IFERROR(VLOOKUP(C425,'Fatores de Impacto e INMs'!$A$3:$E$32,5,0),1)</f>
        <v>1</v>
      </c>
      <c r="O425" s="63" t="str">
        <f xml:space="preserve">
IF(OR('Dados da OS'!$D$8="Selecione o tipo da contagem",ISBLANK('Dados da OS'!$D$8),B425="INM",B425="N/A",ISBLANK(B425),ISBLANK(C425),N425="VF"),"-",
   IF('Dados da OS'!$D$8=Parâmetros!$B$3,
      IF(OR(ISBLANK(D425),ISBLANK(F425)),"-",
         IF(L425="L","Baixa",IF(L425="A","Média",IF(L425="H","Alta","-")))),
      IF('Dados da OS'!$D$8=Parâmetros!$B$4,
         IF(OR(B425="ALI",B425="AIE"),"Baixa",IF(OR(B425="EE",B425="SE",B425="CE"),"Média","-")),
         IF(OR('Dados da OS'!$D$8=Parâmetros!$B$5,'Dados da OS'!$D$8=Parâmetros!$B$6),"-"))))</f>
        <v>-</v>
      </c>
      <c r="P425" s="59" t="str">
        <f xml:space="preserve">
IF(OR(ISBLANK(B425),ISBLANK(C425),B425="N/A",ISBLANK('Dados da OS'!$D$8)),"",
   IF(OR('Dados da OS'!$D$8=Parâmetros!$B$3,'Dados da OS'!$D$8=Parâmetros!$B$4),
      IF(OR(AND(B425="INM",N425&lt;&gt;"VF"),AND(N425="VF",B425&lt;&gt;"INM")),"",
        IF(AND(B425="INM",N425="VF"),IF(ISBLANK(H425),"",M425*H425),
        IF('Dados da OS'!$D$8=Parâmetros!$B$4,
           IF(OR(B425="CE",B425="EE"),4,IF(B425="SE",5,IF(B425="ALI",7,IF(B425="AIE",5,"")))),
        IF('Dados da OS'!$D$8=Parâmetros!$B$3,
           IF(OR(ISBLANK(D425),ISBLANK(F425)),"",
              IF(B425="ALI",IF(L425="L",7,IF(L425="A",10,15)),
                 IF(B425="AIE",IF(L425="L",5,IF(L425="A",7,10)),
                    IF(B425="SE",IF(L425="L",4,IF(L425="A",5,7)),
                       IF(OR(B425="EE",B425="CE"),IF(L425="L",3,IF(L425="A",4,6)),""))))))))),
   IF('Dados da OS'!$D$8=Parâmetros!$B$5,
      IF(OR(AND(B425="INM",N425&lt;&gt;"VF"),AND(N425="VF",B425&lt;&gt;"INM")),"",
         IF(B425="INM",IF(N425="VF",M425*H425,""),
            IF(B425="PE",4.6,
            IF(B425="AL",7,"")))),
   IF('Dados da OS'!$D$8=Parâmetros!$B$6,
      IF(B425="ALI",35,IF(B425="AIE",15,"")),""))
    )
)</f>
        <v/>
      </c>
      <c r="Q425" s="60" t="str">
        <f t="shared" si="43"/>
        <v/>
      </c>
      <c r="R425" s="61"/>
      <c r="S425" s="62"/>
      <c r="T425" s="80" t="s">
        <v>21</v>
      </c>
      <c r="U425" s="81"/>
      <c r="V425" s="99"/>
      <c r="W425" s="55"/>
      <c r="X425" s="55"/>
      <c r="Y425" s="56"/>
      <c r="Z425" s="55"/>
      <c r="AA425" s="56"/>
      <c r="AB425" s="55"/>
      <c r="AC425" s="57" t="str">
        <f t="shared" si="44"/>
        <v/>
      </c>
      <c r="AD425" s="57" t="str">
        <f t="shared" si="45"/>
        <v/>
      </c>
      <c r="AE425" s="57" t="str">
        <f xml:space="preserve">
IF(OR('Dados da OS'!$D$8=Parâmetros!$B$3,'Dados da OS'!$D$8=Parâmetros!$B$4),
  IF(OR(ISBLANK(X425),ISBLANK(Z425)),
     IF(OR(V425="ALI",V425="AIE"),"L",IF(ISBLANK(V425),"","A")),
     IF(V425="EE",IF(Z425&gt;=3,IF(X425&gt;=5,"H","A"),
     IF(Z425&gt;=2,IF(X425&gt;=16,"H",IF(X425&lt;=4,"L","A")),IF(X425&lt;=15,"L","A"))),
     IF(OR(V425="SE",V425="CE"),IF(Z425&gt;=4,IF(X425&gt;=6,"H","A"),IF(Z425&gt;=2,IF(X425&gt;=20,"H",IF(X425&lt;=5,"L","A")),IF(X425&lt;=19,"L","A"))),
     IF(OR(V425="ALI",V425="AIE"),IF(Z425&gt;=6,IF(X425&gt;=20,"H","A"),IF(Z425&gt;=2,IF(X425&gt;=51,"H",IF(X425&lt;=19,"L","A")),IF(X425&lt;=50,"L","A"))))))),
IF('Dados da OS'!$D$8=Parâmetros!$B$6,"Indicativa",
IF('Dados da OS'!$D$8=Parâmetros!$B$5,"PFS","")))</f>
        <v/>
      </c>
      <c r="AF425" s="57">
        <f>IFERROR(VLOOKUP(W425,'Fatores de Impacto e INMs'!$A$3:$D$32,3,0),1)</f>
        <v>1</v>
      </c>
      <c r="AG425" s="57">
        <f>IFERROR(VLOOKUP(W425,'Fatores de Impacto e INMs'!$A$3:$E$32,5,0),1)</f>
        <v>1</v>
      </c>
      <c r="AH425" s="82" t="str">
        <f xml:space="preserve">
IF(OR('Dados da OS'!$D$8="Selecione o tipo da contagem",ISBLANK('Dados da OS'!$D$8),V425="INM",V425="N/A",ISBLANK(V425),ISBLANK(W425),AG425="VF"),"-",
   IF('Dados da OS'!$D$8=Parâmetros!$B$3,
      IF(OR(ISBLANK(X425),ISBLANK(Z425)),"-",
         IF(AE425="L","Baixa",IF(AE425="A","Média",IF(AE425="H","Alta","-")))),
      IF('Dados da OS'!$D$8=Parâmetros!$B$4,
         IF(OR(V425="ALI",V425="AIE"),"Baixa",IF(OR(V425="EE",V425="SE",V425="CE"),"Média","-")),
         IF(OR('Dados da OS'!$D$8=Parâmetros!$B$5,'Dados da OS'!$D$8=Parâmetros!$B$6),"-"))))</f>
        <v>-</v>
      </c>
      <c r="AI425" s="83" t="str">
        <f xml:space="preserve">
IF(OR(ISBLANK(V425),ISBLANK(U425),ISBLANK(W425),V425="N/A",ISBLANK('Dados da OS'!$D$8)),"",
   IF(OR('Dados da OS'!$D$8=Parâmetros!$B$3,'Dados da OS'!$D$8=Parâmetros!$B$4),
      IF(OR(AND(V425="INM",AG425&lt;&gt;"VF"),AND(AG425="VF",V425&lt;&gt;"INM")),"",
        IF(AND(V425="INM",AG425="VF"),IF(ISBLANK(AB425),"",AF425*AB425),
        IF('Dados da OS'!$D$8=Parâmetros!$B$4,
           IF(OR(V425="CE",V425="EE"),4,IF(V425="SE",5,IF(V425="ALI",7,IF(V425="AIE",5,"")))),
        IF('Dados da OS'!$D$8=Parâmetros!$B$3,
           IF(OR(ISBLANK(X425),ISBLANK(Z425)),"",
              IF(V425="ALI",IF(AE425="L",7,IF(AE425="A",10,15)),
                 IF(V425="AIE",IF(AE425="L",5,IF(AE425="A",7,10)),
                    IF(V425="SE",IF(AE425="L",4,IF(AE425="A",5,7)),
                       IF(OR(V425="EE",V425="CE"),IF(AE425="L",3,IF(AE425="A",4,6)),""))))))))),
   IF('Dados da OS'!$D$8=Parâmetros!$B$5,
      IF(OR(AND(V425="INM",AG425&lt;&gt;"VF"),AND(AG425="VF",V425&lt;&gt;"INM")),"",
         IF(V425="INM",IF(AG425="VF",AF425*AB425,""),
            IF(V425="PE",4.6,
            IF(V425="AL",7,"")))),
   IF('Dados da OS'!$D$8=Parâmetros!$B$6,
      IF(V425="ALI",35,IF(V425="AIE",15,"")),""))
    )
)</f>
        <v/>
      </c>
      <c r="AJ425" s="82" t="str">
        <f t="shared" si="46"/>
        <v/>
      </c>
      <c r="AK425" s="84"/>
      <c r="AL425" s="85" t="s">
        <v>21</v>
      </c>
      <c r="AM425" s="86"/>
      <c r="AN425" s="85"/>
      <c r="AO425" s="87"/>
      <c r="AP425" s="85"/>
      <c r="AQ425" s="86"/>
      <c r="AR425" s="85"/>
    </row>
    <row r="426" spans="1:44" ht="15.75" customHeight="1">
      <c r="A426" s="54"/>
      <c r="B426" s="100"/>
      <c r="C426" s="55"/>
      <c r="D426" s="55"/>
      <c r="E426" s="56"/>
      <c r="F426" s="55"/>
      <c r="G426" s="56"/>
      <c r="H426" s="55"/>
      <c r="I426" s="64"/>
      <c r="J426" s="57" t="str">
        <f t="shared" si="41"/>
        <v/>
      </c>
      <c r="K426" s="57" t="str">
        <f t="shared" si="42"/>
        <v/>
      </c>
      <c r="L426" s="57" t="str">
        <f xml:space="preserve">
IF(OR('Dados da OS'!$D$8=Parâmetros!$B$3,'Dados da OS'!$D$8=Parâmetros!$B$4),
  IF(OR(ISBLANK(D426),ISBLANK(F426)),
     IF(OR(B426="ALI",B426="AIE"),"L",IF(ISBLANK(B426),"","A")),
     IF(B426="EE",IF(F426&gt;=3,IF(D426&gt;=5,"H","A"),
     IF(F426&gt;=2,IF(D426&gt;=16,"H",IF(D426&lt;=4,"L","A")),IF(D426&lt;=15,"L","A"))),
     IF(OR(B426="SE",B426="CE"),IF(F426&gt;=4,IF(D426&gt;=6,"H","A"),IF(F426&gt;=2,IF(D426&gt;=20,"H",IF(D426&lt;=5,"L","A")),IF(D426&lt;=19,"L","A"))),
     IF(OR(B426="ALI",B426="AIE"),IF(F426&gt;=6,IF(D426&gt;=20,"H","A"),IF(F426&gt;=2,IF(D426&gt;=51,"H",IF(D426&lt;=19,"L","A")),IF(D426&lt;=50,"L","A"))))))),
IF('Dados da OS'!$D$8=Parâmetros!$B$6,"Indicativa",
IF('Dados da OS'!$D$8=Parâmetros!$B$5,"PFS","")))</f>
        <v/>
      </c>
      <c r="M426" s="57">
        <f>IFERROR(VLOOKUP(C426,'Fatores de Impacto e INMs'!$A$3:$D$32,3,0),1)</f>
        <v>1</v>
      </c>
      <c r="N426" s="57">
        <f>IFERROR(VLOOKUP(C426,'Fatores de Impacto e INMs'!$A$3:$E$32,5,0),1)</f>
        <v>1</v>
      </c>
      <c r="O426" s="63" t="str">
        <f xml:space="preserve">
IF(OR('Dados da OS'!$D$8="Selecione o tipo da contagem",ISBLANK('Dados da OS'!$D$8),B426="INM",B426="N/A",ISBLANK(B426),ISBLANK(C426),N426="VF"),"-",
   IF('Dados da OS'!$D$8=Parâmetros!$B$3,
      IF(OR(ISBLANK(D426),ISBLANK(F426)),"-",
         IF(L426="L","Baixa",IF(L426="A","Média",IF(L426="H","Alta","-")))),
      IF('Dados da OS'!$D$8=Parâmetros!$B$4,
         IF(OR(B426="ALI",B426="AIE"),"Baixa",IF(OR(B426="EE",B426="SE",B426="CE"),"Média","-")),
         IF(OR('Dados da OS'!$D$8=Parâmetros!$B$5,'Dados da OS'!$D$8=Parâmetros!$B$6),"-"))))</f>
        <v>-</v>
      </c>
      <c r="P426" s="59" t="str">
        <f xml:space="preserve">
IF(OR(ISBLANK(B426),ISBLANK(C426),B426="N/A",ISBLANK('Dados da OS'!$D$8)),"",
   IF(OR('Dados da OS'!$D$8=Parâmetros!$B$3,'Dados da OS'!$D$8=Parâmetros!$B$4),
      IF(OR(AND(B426="INM",N426&lt;&gt;"VF"),AND(N426="VF",B426&lt;&gt;"INM")),"",
        IF(AND(B426="INM",N426="VF"),IF(ISBLANK(H426),"",M426*H426),
        IF('Dados da OS'!$D$8=Parâmetros!$B$4,
           IF(OR(B426="CE",B426="EE"),4,IF(B426="SE",5,IF(B426="ALI",7,IF(B426="AIE",5,"")))),
        IF('Dados da OS'!$D$8=Parâmetros!$B$3,
           IF(OR(ISBLANK(D426),ISBLANK(F426)),"",
              IF(B426="ALI",IF(L426="L",7,IF(L426="A",10,15)),
                 IF(B426="AIE",IF(L426="L",5,IF(L426="A",7,10)),
                    IF(B426="SE",IF(L426="L",4,IF(L426="A",5,7)),
                       IF(OR(B426="EE",B426="CE"),IF(L426="L",3,IF(L426="A",4,6)),""))))))))),
   IF('Dados da OS'!$D$8=Parâmetros!$B$5,
      IF(OR(AND(B426="INM",N426&lt;&gt;"VF"),AND(N426="VF",B426&lt;&gt;"INM")),"",
         IF(B426="INM",IF(N426="VF",M426*H426,""),
            IF(B426="PE",4.6,
            IF(B426="AL",7,"")))),
   IF('Dados da OS'!$D$8=Parâmetros!$B$6,
      IF(B426="ALI",35,IF(B426="AIE",15,"")),""))
    )
)</f>
        <v/>
      </c>
      <c r="Q426" s="60" t="str">
        <f t="shared" si="43"/>
        <v/>
      </c>
      <c r="R426" s="61"/>
      <c r="S426" s="62"/>
      <c r="T426" s="80" t="s">
        <v>21</v>
      </c>
      <c r="U426" s="81"/>
      <c r="V426" s="99"/>
      <c r="W426" s="55"/>
      <c r="X426" s="55"/>
      <c r="Y426" s="56"/>
      <c r="Z426" s="55"/>
      <c r="AA426" s="56"/>
      <c r="AB426" s="55"/>
      <c r="AC426" s="57" t="str">
        <f t="shared" si="44"/>
        <v/>
      </c>
      <c r="AD426" s="57" t="str">
        <f t="shared" si="45"/>
        <v/>
      </c>
      <c r="AE426" s="57" t="str">
        <f xml:space="preserve">
IF(OR('Dados da OS'!$D$8=Parâmetros!$B$3,'Dados da OS'!$D$8=Parâmetros!$B$4),
  IF(OR(ISBLANK(X426),ISBLANK(Z426)),
     IF(OR(V426="ALI",V426="AIE"),"L",IF(ISBLANK(V426),"","A")),
     IF(V426="EE",IF(Z426&gt;=3,IF(X426&gt;=5,"H","A"),
     IF(Z426&gt;=2,IF(X426&gt;=16,"H",IF(X426&lt;=4,"L","A")),IF(X426&lt;=15,"L","A"))),
     IF(OR(V426="SE",V426="CE"),IF(Z426&gt;=4,IF(X426&gt;=6,"H","A"),IF(Z426&gt;=2,IF(X426&gt;=20,"H",IF(X426&lt;=5,"L","A")),IF(X426&lt;=19,"L","A"))),
     IF(OR(V426="ALI",V426="AIE"),IF(Z426&gt;=6,IF(X426&gt;=20,"H","A"),IF(Z426&gt;=2,IF(X426&gt;=51,"H",IF(X426&lt;=19,"L","A")),IF(X426&lt;=50,"L","A"))))))),
IF('Dados da OS'!$D$8=Parâmetros!$B$6,"Indicativa",
IF('Dados da OS'!$D$8=Parâmetros!$B$5,"PFS","")))</f>
        <v/>
      </c>
      <c r="AF426" s="57">
        <f>IFERROR(VLOOKUP(W426,'Fatores de Impacto e INMs'!$A$3:$D$32,3,0),1)</f>
        <v>1</v>
      </c>
      <c r="AG426" s="57">
        <f>IFERROR(VLOOKUP(W426,'Fatores de Impacto e INMs'!$A$3:$E$32,5,0),1)</f>
        <v>1</v>
      </c>
      <c r="AH426" s="82" t="str">
        <f xml:space="preserve">
IF(OR('Dados da OS'!$D$8="Selecione o tipo da contagem",ISBLANK('Dados da OS'!$D$8),V426="INM",V426="N/A",ISBLANK(V426),ISBLANK(W426),AG426="VF"),"-",
   IF('Dados da OS'!$D$8=Parâmetros!$B$3,
      IF(OR(ISBLANK(X426),ISBLANK(Z426)),"-",
         IF(AE426="L","Baixa",IF(AE426="A","Média",IF(AE426="H","Alta","-")))),
      IF('Dados da OS'!$D$8=Parâmetros!$B$4,
         IF(OR(V426="ALI",V426="AIE"),"Baixa",IF(OR(V426="EE",V426="SE",V426="CE"),"Média","-")),
         IF(OR('Dados da OS'!$D$8=Parâmetros!$B$5,'Dados da OS'!$D$8=Parâmetros!$B$6),"-"))))</f>
        <v>-</v>
      </c>
      <c r="AI426" s="83" t="str">
        <f xml:space="preserve">
IF(OR(ISBLANK(V426),ISBLANK(U426),ISBLANK(W426),V426="N/A",ISBLANK('Dados da OS'!$D$8)),"",
   IF(OR('Dados da OS'!$D$8=Parâmetros!$B$3,'Dados da OS'!$D$8=Parâmetros!$B$4),
      IF(OR(AND(V426="INM",AG426&lt;&gt;"VF"),AND(AG426="VF",V426&lt;&gt;"INM")),"",
        IF(AND(V426="INM",AG426="VF"),IF(ISBLANK(AB426),"",AF426*AB426),
        IF('Dados da OS'!$D$8=Parâmetros!$B$4,
           IF(OR(V426="CE",V426="EE"),4,IF(V426="SE",5,IF(V426="ALI",7,IF(V426="AIE",5,"")))),
        IF('Dados da OS'!$D$8=Parâmetros!$B$3,
           IF(OR(ISBLANK(X426),ISBLANK(Z426)),"",
              IF(V426="ALI",IF(AE426="L",7,IF(AE426="A",10,15)),
                 IF(V426="AIE",IF(AE426="L",5,IF(AE426="A",7,10)),
                    IF(V426="SE",IF(AE426="L",4,IF(AE426="A",5,7)),
                       IF(OR(V426="EE",V426="CE"),IF(AE426="L",3,IF(AE426="A",4,6)),""))))))))),
   IF('Dados da OS'!$D$8=Parâmetros!$B$5,
      IF(OR(AND(V426="INM",AG426&lt;&gt;"VF"),AND(AG426="VF",V426&lt;&gt;"INM")),"",
         IF(V426="INM",IF(AG426="VF",AF426*AB426,""),
            IF(V426="PE",4.6,
            IF(V426="AL",7,"")))),
   IF('Dados da OS'!$D$8=Parâmetros!$B$6,
      IF(V426="ALI",35,IF(V426="AIE",15,"")),""))
    )
)</f>
        <v/>
      </c>
      <c r="AJ426" s="82" t="str">
        <f t="shared" si="46"/>
        <v/>
      </c>
      <c r="AK426" s="84"/>
      <c r="AL426" s="85" t="s">
        <v>21</v>
      </c>
      <c r="AM426" s="86"/>
      <c r="AN426" s="85"/>
      <c r="AO426" s="87"/>
      <c r="AP426" s="85"/>
      <c r="AQ426" s="86"/>
      <c r="AR426" s="85"/>
    </row>
    <row r="427" spans="1:44" ht="15.75" customHeight="1">
      <c r="A427" s="54"/>
      <c r="B427" s="100"/>
      <c r="C427" s="55"/>
      <c r="D427" s="55"/>
      <c r="E427" s="56"/>
      <c r="F427" s="55"/>
      <c r="G427" s="56"/>
      <c r="H427" s="55"/>
      <c r="I427" s="64"/>
      <c r="J427" s="57" t="str">
        <f t="shared" si="41"/>
        <v/>
      </c>
      <c r="K427" s="57" t="str">
        <f t="shared" si="42"/>
        <v/>
      </c>
      <c r="L427" s="57" t="str">
        <f xml:space="preserve">
IF(OR('Dados da OS'!$D$8=Parâmetros!$B$3,'Dados da OS'!$D$8=Parâmetros!$B$4),
  IF(OR(ISBLANK(D427),ISBLANK(F427)),
     IF(OR(B427="ALI",B427="AIE"),"L",IF(ISBLANK(B427),"","A")),
     IF(B427="EE",IF(F427&gt;=3,IF(D427&gt;=5,"H","A"),
     IF(F427&gt;=2,IF(D427&gt;=16,"H",IF(D427&lt;=4,"L","A")),IF(D427&lt;=15,"L","A"))),
     IF(OR(B427="SE",B427="CE"),IF(F427&gt;=4,IF(D427&gt;=6,"H","A"),IF(F427&gt;=2,IF(D427&gt;=20,"H",IF(D427&lt;=5,"L","A")),IF(D427&lt;=19,"L","A"))),
     IF(OR(B427="ALI",B427="AIE"),IF(F427&gt;=6,IF(D427&gt;=20,"H","A"),IF(F427&gt;=2,IF(D427&gt;=51,"H",IF(D427&lt;=19,"L","A")),IF(D427&lt;=50,"L","A"))))))),
IF('Dados da OS'!$D$8=Parâmetros!$B$6,"Indicativa",
IF('Dados da OS'!$D$8=Parâmetros!$B$5,"PFS","")))</f>
        <v/>
      </c>
      <c r="M427" s="57">
        <f>IFERROR(VLOOKUP(C427,'Fatores de Impacto e INMs'!$A$3:$D$32,3,0),1)</f>
        <v>1</v>
      </c>
      <c r="N427" s="57">
        <f>IFERROR(VLOOKUP(C427,'Fatores de Impacto e INMs'!$A$3:$E$32,5,0),1)</f>
        <v>1</v>
      </c>
      <c r="O427" s="63" t="str">
        <f xml:space="preserve">
IF(OR('Dados da OS'!$D$8="Selecione o tipo da contagem",ISBLANK('Dados da OS'!$D$8),B427="INM",B427="N/A",ISBLANK(B427),ISBLANK(C427),N427="VF"),"-",
   IF('Dados da OS'!$D$8=Parâmetros!$B$3,
      IF(OR(ISBLANK(D427),ISBLANK(F427)),"-",
         IF(L427="L","Baixa",IF(L427="A","Média",IF(L427="H","Alta","-")))),
      IF('Dados da OS'!$D$8=Parâmetros!$B$4,
         IF(OR(B427="ALI",B427="AIE"),"Baixa",IF(OR(B427="EE",B427="SE",B427="CE"),"Média","-")),
         IF(OR('Dados da OS'!$D$8=Parâmetros!$B$5,'Dados da OS'!$D$8=Parâmetros!$B$6),"-"))))</f>
        <v>-</v>
      </c>
      <c r="P427" s="59" t="str">
        <f xml:space="preserve">
IF(OR(ISBLANK(B427),ISBLANK(C427),B427="N/A",ISBLANK('Dados da OS'!$D$8)),"",
   IF(OR('Dados da OS'!$D$8=Parâmetros!$B$3,'Dados da OS'!$D$8=Parâmetros!$B$4),
      IF(OR(AND(B427="INM",N427&lt;&gt;"VF"),AND(N427="VF",B427&lt;&gt;"INM")),"",
        IF(AND(B427="INM",N427="VF"),IF(ISBLANK(H427),"",M427*H427),
        IF('Dados da OS'!$D$8=Parâmetros!$B$4,
           IF(OR(B427="CE",B427="EE"),4,IF(B427="SE",5,IF(B427="ALI",7,IF(B427="AIE",5,"")))),
        IF('Dados da OS'!$D$8=Parâmetros!$B$3,
           IF(OR(ISBLANK(D427),ISBLANK(F427)),"",
              IF(B427="ALI",IF(L427="L",7,IF(L427="A",10,15)),
                 IF(B427="AIE",IF(L427="L",5,IF(L427="A",7,10)),
                    IF(B427="SE",IF(L427="L",4,IF(L427="A",5,7)),
                       IF(OR(B427="EE",B427="CE"),IF(L427="L",3,IF(L427="A",4,6)),""))))))))),
   IF('Dados da OS'!$D$8=Parâmetros!$B$5,
      IF(OR(AND(B427="INM",N427&lt;&gt;"VF"),AND(N427="VF",B427&lt;&gt;"INM")),"",
         IF(B427="INM",IF(N427="VF",M427*H427,""),
            IF(B427="PE",4.6,
            IF(B427="AL",7,"")))),
   IF('Dados da OS'!$D$8=Parâmetros!$B$6,
      IF(B427="ALI",35,IF(B427="AIE",15,"")),""))
    )
)</f>
        <v/>
      </c>
      <c r="Q427" s="60" t="str">
        <f t="shared" si="43"/>
        <v/>
      </c>
      <c r="R427" s="61"/>
      <c r="S427" s="62"/>
      <c r="T427" s="80" t="s">
        <v>21</v>
      </c>
      <c r="U427" s="81"/>
      <c r="V427" s="99"/>
      <c r="W427" s="55"/>
      <c r="X427" s="55"/>
      <c r="Y427" s="56"/>
      <c r="Z427" s="55"/>
      <c r="AA427" s="56"/>
      <c r="AB427" s="55"/>
      <c r="AC427" s="57" t="str">
        <f t="shared" si="44"/>
        <v/>
      </c>
      <c r="AD427" s="57" t="str">
        <f t="shared" si="45"/>
        <v/>
      </c>
      <c r="AE427" s="57" t="str">
        <f xml:space="preserve">
IF(OR('Dados da OS'!$D$8=Parâmetros!$B$3,'Dados da OS'!$D$8=Parâmetros!$B$4),
  IF(OR(ISBLANK(X427),ISBLANK(Z427)),
     IF(OR(V427="ALI",V427="AIE"),"L",IF(ISBLANK(V427),"","A")),
     IF(V427="EE",IF(Z427&gt;=3,IF(X427&gt;=5,"H","A"),
     IF(Z427&gt;=2,IF(X427&gt;=16,"H",IF(X427&lt;=4,"L","A")),IF(X427&lt;=15,"L","A"))),
     IF(OR(V427="SE",V427="CE"),IF(Z427&gt;=4,IF(X427&gt;=6,"H","A"),IF(Z427&gt;=2,IF(X427&gt;=20,"H",IF(X427&lt;=5,"L","A")),IF(X427&lt;=19,"L","A"))),
     IF(OR(V427="ALI",V427="AIE"),IF(Z427&gt;=6,IF(X427&gt;=20,"H","A"),IF(Z427&gt;=2,IF(X427&gt;=51,"H",IF(X427&lt;=19,"L","A")),IF(X427&lt;=50,"L","A"))))))),
IF('Dados da OS'!$D$8=Parâmetros!$B$6,"Indicativa",
IF('Dados da OS'!$D$8=Parâmetros!$B$5,"PFS","")))</f>
        <v/>
      </c>
      <c r="AF427" s="57">
        <f>IFERROR(VLOOKUP(W427,'Fatores de Impacto e INMs'!$A$3:$D$32,3,0),1)</f>
        <v>1</v>
      </c>
      <c r="AG427" s="57">
        <f>IFERROR(VLOOKUP(W427,'Fatores de Impacto e INMs'!$A$3:$E$32,5,0),1)</f>
        <v>1</v>
      </c>
      <c r="AH427" s="82" t="str">
        <f xml:space="preserve">
IF(OR('Dados da OS'!$D$8="Selecione o tipo da contagem",ISBLANK('Dados da OS'!$D$8),V427="INM",V427="N/A",ISBLANK(V427),ISBLANK(W427),AG427="VF"),"-",
   IF('Dados da OS'!$D$8=Parâmetros!$B$3,
      IF(OR(ISBLANK(X427),ISBLANK(Z427)),"-",
         IF(AE427="L","Baixa",IF(AE427="A","Média",IF(AE427="H","Alta","-")))),
      IF('Dados da OS'!$D$8=Parâmetros!$B$4,
         IF(OR(V427="ALI",V427="AIE"),"Baixa",IF(OR(V427="EE",V427="SE",V427="CE"),"Média","-")),
         IF(OR('Dados da OS'!$D$8=Parâmetros!$B$5,'Dados da OS'!$D$8=Parâmetros!$B$6),"-"))))</f>
        <v>-</v>
      </c>
      <c r="AI427" s="83" t="str">
        <f xml:space="preserve">
IF(OR(ISBLANK(V427),ISBLANK(U427),ISBLANK(W427),V427="N/A",ISBLANK('Dados da OS'!$D$8)),"",
   IF(OR('Dados da OS'!$D$8=Parâmetros!$B$3,'Dados da OS'!$D$8=Parâmetros!$B$4),
      IF(OR(AND(V427="INM",AG427&lt;&gt;"VF"),AND(AG427="VF",V427&lt;&gt;"INM")),"",
        IF(AND(V427="INM",AG427="VF"),IF(ISBLANK(AB427),"",AF427*AB427),
        IF('Dados da OS'!$D$8=Parâmetros!$B$4,
           IF(OR(V427="CE",V427="EE"),4,IF(V427="SE",5,IF(V427="ALI",7,IF(V427="AIE",5,"")))),
        IF('Dados da OS'!$D$8=Parâmetros!$B$3,
           IF(OR(ISBLANK(X427),ISBLANK(Z427)),"",
              IF(V427="ALI",IF(AE427="L",7,IF(AE427="A",10,15)),
                 IF(V427="AIE",IF(AE427="L",5,IF(AE427="A",7,10)),
                    IF(V427="SE",IF(AE427="L",4,IF(AE427="A",5,7)),
                       IF(OR(V427="EE",V427="CE"),IF(AE427="L",3,IF(AE427="A",4,6)),""))))))))),
   IF('Dados da OS'!$D$8=Parâmetros!$B$5,
      IF(OR(AND(V427="INM",AG427&lt;&gt;"VF"),AND(AG427="VF",V427&lt;&gt;"INM")),"",
         IF(V427="INM",IF(AG427="VF",AF427*AB427,""),
            IF(V427="PE",4.6,
            IF(V427="AL",7,"")))),
   IF('Dados da OS'!$D$8=Parâmetros!$B$6,
      IF(V427="ALI",35,IF(V427="AIE",15,"")),""))
    )
)</f>
        <v/>
      </c>
      <c r="AJ427" s="82" t="str">
        <f t="shared" si="46"/>
        <v/>
      </c>
      <c r="AK427" s="84"/>
      <c r="AL427" s="85" t="s">
        <v>21</v>
      </c>
      <c r="AM427" s="86"/>
      <c r="AN427" s="85"/>
      <c r="AO427" s="87"/>
      <c r="AP427" s="85"/>
      <c r="AQ427" s="86"/>
      <c r="AR427" s="85"/>
    </row>
    <row r="428" spans="1:44" ht="15.75" customHeight="1">
      <c r="A428" s="54"/>
      <c r="B428" s="100"/>
      <c r="C428" s="55"/>
      <c r="D428" s="55"/>
      <c r="E428" s="56"/>
      <c r="F428" s="55"/>
      <c r="G428" s="56"/>
      <c r="H428" s="55"/>
      <c r="I428" s="64"/>
      <c r="J428" s="57" t="str">
        <f t="shared" si="41"/>
        <v/>
      </c>
      <c r="K428" s="57" t="str">
        <f t="shared" si="42"/>
        <v/>
      </c>
      <c r="L428" s="57" t="str">
        <f xml:space="preserve">
IF(OR('Dados da OS'!$D$8=Parâmetros!$B$3,'Dados da OS'!$D$8=Parâmetros!$B$4),
  IF(OR(ISBLANK(D428),ISBLANK(F428)),
     IF(OR(B428="ALI",B428="AIE"),"L",IF(ISBLANK(B428),"","A")),
     IF(B428="EE",IF(F428&gt;=3,IF(D428&gt;=5,"H","A"),
     IF(F428&gt;=2,IF(D428&gt;=16,"H",IF(D428&lt;=4,"L","A")),IF(D428&lt;=15,"L","A"))),
     IF(OR(B428="SE",B428="CE"),IF(F428&gt;=4,IF(D428&gt;=6,"H","A"),IF(F428&gt;=2,IF(D428&gt;=20,"H",IF(D428&lt;=5,"L","A")),IF(D428&lt;=19,"L","A"))),
     IF(OR(B428="ALI",B428="AIE"),IF(F428&gt;=6,IF(D428&gt;=20,"H","A"),IF(F428&gt;=2,IF(D428&gt;=51,"H",IF(D428&lt;=19,"L","A")),IF(D428&lt;=50,"L","A"))))))),
IF('Dados da OS'!$D$8=Parâmetros!$B$6,"Indicativa",
IF('Dados da OS'!$D$8=Parâmetros!$B$5,"PFS","")))</f>
        <v/>
      </c>
      <c r="M428" s="57">
        <f>IFERROR(VLOOKUP(C428,'Fatores de Impacto e INMs'!$A$3:$D$32,3,0),1)</f>
        <v>1</v>
      </c>
      <c r="N428" s="57">
        <f>IFERROR(VLOOKUP(C428,'Fatores de Impacto e INMs'!$A$3:$E$32,5,0),1)</f>
        <v>1</v>
      </c>
      <c r="O428" s="63" t="str">
        <f xml:space="preserve">
IF(OR('Dados da OS'!$D$8="Selecione o tipo da contagem",ISBLANK('Dados da OS'!$D$8),B428="INM",B428="N/A",ISBLANK(B428),ISBLANK(C428),N428="VF"),"-",
   IF('Dados da OS'!$D$8=Parâmetros!$B$3,
      IF(OR(ISBLANK(D428),ISBLANK(F428)),"-",
         IF(L428="L","Baixa",IF(L428="A","Média",IF(L428="H","Alta","-")))),
      IF('Dados da OS'!$D$8=Parâmetros!$B$4,
         IF(OR(B428="ALI",B428="AIE"),"Baixa",IF(OR(B428="EE",B428="SE",B428="CE"),"Média","-")),
         IF(OR('Dados da OS'!$D$8=Parâmetros!$B$5,'Dados da OS'!$D$8=Parâmetros!$B$6),"-"))))</f>
        <v>-</v>
      </c>
      <c r="P428" s="59" t="str">
        <f xml:space="preserve">
IF(OR(ISBLANK(B428),ISBLANK(C428),B428="N/A",ISBLANK('Dados da OS'!$D$8)),"",
   IF(OR('Dados da OS'!$D$8=Parâmetros!$B$3,'Dados da OS'!$D$8=Parâmetros!$B$4),
      IF(OR(AND(B428="INM",N428&lt;&gt;"VF"),AND(N428="VF",B428&lt;&gt;"INM")),"",
        IF(AND(B428="INM",N428="VF"),IF(ISBLANK(H428),"",M428*H428),
        IF('Dados da OS'!$D$8=Parâmetros!$B$4,
           IF(OR(B428="CE",B428="EE"),4,IF(B428="SE",5,IF(B428="ALI",7,IF(B428="AIE",5,"")))),
        IF('Dados da OS'!$D$8=Parâmetros!$B$3,
           IF(OR(ISBLANK(D428),ISBLANK(F428)),"",
              IF(B428="ALI",IF(L428="L",7,IF(L428="A",10,15)),
                 IF(B428="AIE",IF(L428="L",5,IF(L428="A",7,10)),
                    IF(B428="SE",IF(L428="L",4,IF(L428="A",5,7)),
                       IF(OR(B428="EE",B428="CE"),IF(L428="L",3,IF(L428="A",4,6)),""))))))))),
   IF('Dados da OS'!$D$8=Parâmetros!$B$5,
      IF(OR(AND(B428="INM",N428&lt;&gt;"VF"),AND(N428="VF",B428&lt;&gt;"INM")),"",
         IF(B428="INM",IF(N428="VF",M428*H428,""),
            IF(B428="PE",4.6,
            IF(B428="AL",7,"")))),
   IF('Dados da OS'!$D$8=Parâmetros!$B$6,
      IF(B428="ALI",35,IF(B428="AIE",15,"")),""))
    )
)</f>
        <v/>
      </c>
      <c r="Q428" s="60" t="str">
        <f t="shared" si="43"/>
        <v/>
      </c>
      <c r="R428" s="61"/>
      <c r="S428" s="62"/>
      <c r="T428" s="80" t="s">
        <v>21</v>
      </c>
      <c r="U428" s="81"/>
      <c r="V428" s="99"/>
      <c r="W428" s="55"/>
      <c r="X428" s="55"/>
      <c r="Y428" s="56"/>
      <c r="Z428" s="55"/>
      <c r="AA428" s="56"/>
      <c r="AB428" s="55"/>
      <c r="AC428" s="57" t="str">
        <f t="shared" si="44"/>
        <v/>
      </c>
      <c r="AD428" s="57" t="str">
        <f t="shared" si="45"/>
        <v/>
      </c>
      <c r="AE428" s="57" t="str">
        <f xml:space="preserve">
IF(OR('Dados da OS'!$D$8=Parâmetros!$B$3,'Dados da OS'!$D$8=Parâmetros!$B$4),
  IF(OR(ISBLANK(X428),ISBLANK(Z428)),
     IF(OR(V428="ALI",V428="AIE"),"L",IF(ISBLANK(V428),"","A")),
     IF(V428="EE",IF(Z428&gt;=3,IF(X428&gt;=5,"H","A"),
     IF(Z428&gt;=2,IF(X428&gt;=16,"H",IF(X428&lt;=4,"L","A")),IF(X428&lt;=15,"L","A"))),
     IF(OR(V428="SE",V428="CE"),IF(Z428&gt;=4,IF(X428&gt;=6,"H","A"),IF(Z428&gt;=2,IF(X428&gt;=20,"H",IF(X428&lt;=5,"L","A")),IF(X428&lt;=19,"L","A"))),
     IF(OR(V428="ALI",V428="AIE"),IF(Z428&gt;=6,IF(X428&gt;=20,"H","A"),IF(Z428&gt;=2,IF(X428&gt;=51,"H",IF(X428&lt;=19,"L","A")),IF(X428&lt;=50,"L","A"))))))),
IF('Dados da OS'!$D$8=Parâmetros!$B$6,"Indicativa",
IF('Dados da OS'!$D$8=Parâmetros!$B$5,"PFS","")))</f>
        <v/>
      </c>
      <c r="AF428" s="57">
        <f>IFERROR(VLOOKUP(W428,'Fatores de Impacto e INMs'!$A$3:$D$32,3,0),1)</f>
        <v>1</v>
      </c>
      <c r="AG428" s="57">
        <f>IFERROR(VLOOKUP(W428,'Fatores de Impacto e INMs'!$A$3:$E$32,5,0),1)</f>
        <v>1</v>
      </c>
      <c r="AH428" s="82" t="str">
        <f xml:space="preserve">
IF(OR('Dados da OS'!$D$8="Selecione o tipo da contagem",ISBLANK('Dados da OS'!$D$8),V428="INM",V428="N/A",ISBLANK(V428),ISBLANK(W428),AG428="VF"),"-",
   IF('Dados da OS'!$D$8=Parâmetros!$B$3,
      IF(OR(ISBLANK(X428),ISBLANK(Z428)),"-",
         IF(AE428="L","Baixa",IF(AE428="A","Média",IF(AE428="H","Alta","-")))),
      IF('Dados da OS'!$D$8=Parâmetros!$B$4,
         IF(OR(V428="ALI",V428="AIE"),"Baixa",IF(OR(V428="EE",V428="SE",V428="CE"),"Média","-")),
         IF(OR('Dados da OS'!$D$8=Parâmetros!$B$5,'Dados da OS'!$D$8=Parâmetros!$B$6),"-"))))</f>
        <v>-</v>
      </c>
      <c r="AI428" s="83" t="str">
        <f xml:space="preserve">
IF(OR(ISBLANK(V428),ISBLANK(U428),ISBLANK(W428),V428="N/A",ISBLANK('Dados da OS'!$D$8)),"",
   IF(OR('Dados da OS'!$D$8=Parâmetros!$B$3,'Dados da OS'!$D$8=Parâmetros!$B$4),
      IF(OR(AND(V428="INM",AG428&lt;&gt;"VF"),AND(AG428="VF",V428&lt;&gt;"INM")),"",
        IF(AND(V428="INM",AG428="VF"),IF(ISBLANK(AB428),"",AF428*AB428),
        IF('Dados da OS'!$D$8=Parâmetros!$B$4,
           IF(OR(V428="CE",V428="EE"),4,IF(V428="SE",5,IF(V428="ALI",7,IF(V428="AIE",5,"")))),
        IF('Dados da OS'!$D$8=Parâmetros!$B$3,
           IF(OR(ISBLANK(X428),ISBLANK(Z428)),"",
              IF(V428="ALI",IF(AE428="L",7,IF(AE428="A",10,15)),
                 IF(V428="AIE",IF(AE428="L",5,IF(AE428="A",7,10)),
                    IF(V428="SE",IF(AE428="L",4,IF(AE428="A",5,7)),
                       IF(OR(V428="EE",V428="CE"),IF(AE428="L",3,IF(AE428="A",4,6)),""))))))))),
   IF('Dados da OS'!$D$8=Parâmetros!$B$5,
      IF(OR(AND(V428="INM",AG428&lt;&gt;"VF"),AND(AG428="VF",V428&lt;&gt;"INM")),"",
         IF(V428="INM",IF(AG428="VF",AF428*AB428,""),
            IF(V428="PE",4.6,
            IF(V428="AL",7,"")))),
   IF('Dados da OS'!$D$8=Parâmetros!$B$6,
      IF(V428="ALI",35,IF(V428="AIE",15,"")),""))
    )
)</f>
        <v/>
      </c>
      <c r="AJ428" s="82" t="str">
        <f t="shared" si="46"/>
        <v/>
      </c>
      <c r="AK428" s="84"/>
      <c r="AL428" s="85" t="s">
        <v>21</v>
      </c>
      <c r="AM428" s="86"/>
      <c r="AN428" s="85"/>
      <c r="AO428" s="87"/>
      <c r="AP428" s="85"/>
      <c r="AQ428" s="86"/>
      <c r="AR428" s="85"/>
    </row>
    <row r="429" spans="1:44" ht="15.75" customHeight="1">
      <c r="A429" s="54"/>
      <c r="B429" s="100"/>
      <c r="C429" s="55"/>
      <c r="D429" s="55"/>
      <c r="E429" s="56"/>
      <c r="F429" s="55"/>
      <c r="G429" s="56"/>
      <c r="H429" s="55"/>
      <c r="I429" s="64"/>
      <c r="J429" s="57" t="str">
        <f t="shared" si="41"/>
        <v/>
      </c>
      <c r="K429" s="57" t="str">
        <f t="shared" si="42"/>
        <v/>
      </c>
      <c r="L429" s="57" t="str">
        <f xml:space="preserve">
IF(OR('Dados da OS'!$D$8=Parâmetros!$B$3,'Dados da OS'!$D$8=Parâmetros!$B$4),
  IF(OR(ISBLANK(D429),ISBLANK(F429)),
     IF(OR(B429="ALI",B429="AIE"),"L",IF(ISBLANK(B429),"","A")),
     IF(B429="EE",IF(F429&gt;=3,IF(D429&gt;=5,"H","A"),
     IF(F429&gt;=2,IF(D429&gt;=16,"H",IF(D429&lt;=4,"L","A")),IF(D429&lt;=15,"L","A"))),
     IF(OR(B429="SE",B429="CE"),IF(F429&gt;=4,IF(D429&gt;=6,"H","A"),IF(F429&gt;=2,IF(D429&gt;=20,"H",IF(D429&lt;=5,"L","A")),IF(D429&lt;=19,"L","A"))),
     IF(OR(B429="ALI",B429="AIE"),IF(F429&gt;=6,IF(D429&gt;=20,"H","A"),IF(F429&gt;=2,IF(D429&gt;=51,"H",IF(D429&lt;=19,"L","A")),IF(D429&lt;=50,"L","A"))))))),
IF('Dados da OS'!$D$8=Parâmetros!$B$6,"Indicativa",
IF('Dados da OS'!$D$8=Parâmetros!$B$5,"PFS","")))</f>
        <v/>
      </c>
      <c r="M429" s="57">
        <f>IFERROR(VLOOKUP(C429,'Fatores de Impacto e INMs'!$A$3:$D$32,3,0),1)</f>
        <v>1</v>
      </c>
      <c r="N429" s="57">
        <f>IFERROR(VLOOKUP(C429,'Fatores de Impacto e INMs'!$A$3:$E$32,5,0),1)</f>
        <v>1</v>
      </c>
      <c r="O429" s="63" t="str">
        <f xml:space="preserve">
IF(OR('Dados da OS'!$D$8="Selecione o tipo da contagem",ISBLANK('Dados da OS'!$D$8),B429="INM",B429="N/A",ISBLANK(B429),ISBLANK(C429),N429="VF"),"-",
   IF('Dados da OS'!$D$8=Parâmetros!$B$3,
      IF(OR(ISBLANK(D429),ISBLANK(F429)),"-",
         IF(L429="L","Baixa",IF(L429="A","Média",IF(L429="H","Alta","-")))),
      IF('Dados da OS'!$D$8=Parâmetros!$B$4,
         IF(OR(B429="ALI",B429="AIE"),"Baixa",IF(OR(B429="EE",B429="SE",B429="CE"),"Média","-")),
         IF(OR('Dados da OS'!$D$8=Parâmetros!$B$5,'Dados da OS'!$D$8=Parâmetros!$B$6),"-"))))</f>
        <v>-</v>
      </c>
      <c r="P429" s="59" t="str">
        <f xml:space="preserve">
IF(OR(ISBLANK(B429),ISBLANK(C429),B429="N/A",ISBLANK('Dados da OS'!$D$8)),"",
   IF(OR('Dados da OS'!$D$8=Parâmetros!$B$3,'Dados da OS'!$D$8=Parâmetros!$B$4),
      IF(OR(AND(B429="INM",N429&lt;&gt;"VF"),AND(N429="VF",B429&lt;&gt;"INM")),"",
        IF(AND(B429="INM",N429="VF"),IF(ISBLANK(H429),"",M429*H429),
        IF('Dados da OS'!$D$8=Parâmetros!$B$4,
           IF(OR(B429="CE",B429="EE"),4,IF(B429="SE",5,IF(B429="ALI",7,IF(B429="AIE",5,"")))),
        IF('Dados da OS'!$D$8=Parâmetros!$B$3,
           IF(OR(ISBLANK(D429),ISBLANK(F429)),"",
              IF(B429="ALI",IF(L429="L",7,IF(L429="A",10,15)),
                 IF(B429="AIE",IF(L429="L",5,IF(L429="A",7,10)),
                    IF(B429="SE",IF(L429="L",4,IF(L429="A",5,7)),
                       IF(OR(B429="EE",B429="CE"),IF(L429="L",3,IF(L429="A",4,6)),""))))))))),
   IF('Dados da OS'!$D$8=Parâmetros!$B$5,
      IF(OR(AND(B429="INM",N429&lt;&gt;"VF"),AND(N429="VF",B429&lt;&gt;"INM")),"",
         IF(B429="INM",IF(N429="VF",M429*H429,""),
            IF(B429="PE",4.6,
            IF(B429="AL",7,"")))),
   IF('Dados da OS'!$D$8=Parâmetros!$B$6,
      IF(B429="ALI",35,IF(B429="AIE",15,"")),""))
    )
)</f>
        <v/>
      </c>
      <c r="Q429" s="60" t="str">
        <f t="shared" si="43"/>
        <v/>
      </c>
      <c r="R429" s="61"/>
      <c r="S429" s="62"/>
      <c r="T429" s="80" t="s">
        <v>21</v>
      </c>
      <c r="U429" s="81"/>
      <c r="V429" s="99"/>
      <c r="W429" s="55"/>
      <c r="X429" s="55"/>
      <c r="Y429" s="56"/>
      <c r="Z429" s="55"/>
      <c r="AA429" s="56"/>
      <c r="AB429" s="55"/>
      <c r="AC429" s="57" t="str">
        <f t="shared" si="44"/>
        <v/>
      </c>
      <c r="AD429" s="57" t="str">
        <f t="shared" si="45"/>
        <v/>
      </c>
      <c r="AE429" s="57" t="str">
        <f xml:space="preserve">
IF(OR('Dados da OS'!$D$8=Parâmetros!$B$3,'Dados da OS'!$D$8=Parâmetros!$B$4),
  IF(OR(ISBLANK(X429),ISBLANK(Z429)),
     IF(OR(V429="ALI",V429="AIE"),"L",IF(ISBLANK(V429),"","A")),
     IF(V429="EE",IF(Z429&gt;=3,IF(X429&gt;=5,"H","A"),
     IF(Z429&gt;=2,IF(X429&gt;=16,"H",IF(X429&lt;=4,"L","A")),IF(X429&lt;=15,"L","A"))),
     IF(OR(V429="SE",V429="CE"),IF(Z429&gt;=4,IF(X429&gt;=6,"H","A"),IF(Z429&gt;=2,IF(X429&gt;=20,"H",IF(X429&lt;=5,"L","A")),IF(X429&lt;=19,"L","A"))),
     IF(OR(V429="ALI",V429="AIE"),IF(Z429&gt;=6,IF(X429&gt;=20,"H","A"),IF(Z429&gt;=2,IF(X429&gt;=51,"H",IF(X429&lt;=19,"L","A")),IF(X429&lt;=50,"L","A"))))))),
IF('Dados da OS'!$D$8=Parâmetros!$B$6,"Indicativa",
IF('Dados da OS'!$D$8=Parâmetros!$B$5,"PFS","")))</f>
        <v/>
      </c>
      <c r="AF429" s="57">
        <f>IFERROR(VLOOKUP(W429,'Fatores de Impacto e INMs'!$A$3:$D$32,3,0),1)</f>
        <v>1</v>
      </c>
      <c r="AG429" s="57">
        <f>IFERROR(VLOOKUP(W429,'Fatores de Impacto e INMs'!$A$3:$E$32,5,0),1)</f>
        <v>1</v>
      </c>
      <c r="AH429" s="82" t="str">
        <f xml:space="preserve">
IF(OR('Dados da OS'!$D$8="Selecione o tipo da contagem",ISBLANK('Dados da OS'!$D$8),V429="INM",V429="N/A",ISBLANK(V429),ISBLANK(W429),AG429="VF"),"-",
   IF('Dados da OS'!$D$8=Parâmetros!$B$3,
      IF(OR(ISBLANK(X429),ISBLANK(Z429)),"-",
         IF(AE429="L","Baixa",IF(AE429="A","Média",IF(AE429="H","Alta","-")))),
      IF('Dados da OS'!$D$8=Parâmetros!$B$4,
         IF(OR(V429="ALI",V429="AIE"),"Baixa",IF(OR(V429="EE",V429="SE",V429="CE"),"Média","-")),
         IF(OR('Dados da OS'!$D$8=Parâmetros!$B$5,'Dados da OS'!$D$8=Parâmetros!$B$6),"-"))))</f>
        <v>-</v>
      </c>
      <c r="AI429" s="83" t="str">
        <f xml:space="preserve">
IF(OR(ISBLANK(V429),ISBLANK(U429),ISBLANK(W429),V429="N/A",ISBLANK('Dados da OS'!$D$8)),"",
   IF(OR('Dados da OS'!$D$8=Parâmetros!$B$3,'Dados da OS'!$D$8=Parâmetros!$B$4),
      IF(OR(AND(V429="INM",AG429&lt;&gt;"VF"),AND(AG429="VF",V429&lt;&gt;"INM")),"",
        IF(AND(V429="INM",AG429="VF"),IF(ISBLANK(AB429),"",AF429*AB429),
        IF('Dados da OS'!$D$8=Parâmetros!$B$4,
           IF(OR(V429="CE",V429="EE"),4,IF(V429="SE",5,IF(V429="ALI",7,IF(V429="AIE",5,"")))),
        IF('Dados da OS'!$D$8=Parâmetros!$B$3,
           IF(OR(ISBLANK(X429),ISBLANK(Z429)),"",
              IF(V429="ALI",IF(AE429="L",7,IF(AE429="A",10,15)),
                 IF(V429="AIE",IF(AE429="L",5,IF(AE429="A",7,10)),
                    IF(V429="SE",IF(AE429="L",4,IF(AE429="A",5,7)),
                       IF(OR(V429="EE",V429="CE"),IF(AE429="L",3,IF(AE429="A",4,6)),""))))))))),
   IF('Dados da OS'!$D$8=Parâmetros!$B$5,
      IF(OR(AND(V429="INM",AG429&lt;&gt;"VF"),AND(AG429="VF",V429&lt;&gt;"INM")),"",
         IF(V429="INM",IF(AG429="VF",AF429*AB429,""),
            IF(V429="PE",4.6,
            IF(V429="AL",7,"")))),
   IF('Dados da OS'!$D$8=Parâmetros!$B$6,
      IF(V429="ALI",35,IF(V429="AIE",15,"")),""))
    )
)</f>
        <v/>
      </c>
      <c r="AJ429" s="82" t="str">
        <f t="shared" si="46"/>
        <v/>
      </c>
      <c r="AK429" s="84"/>
      <c r="AL429" s="85" t="s">
        <v>21</v>
      </c>
      <c r="AM429" s="86"/>
      <c r="AN429" s="85"/>
      <c r="AO429" s="87"/>
      <c r="AP429" s="85"/>
      <c r="AQ429" s="86"/>
      <c r="AR429" s="85"/>
    </row>
    <row r="430" spans="1:44" ht="15.75" customHeight="1">
      <c r="A430" s="54"/>
      <c r="B430" s="100"/>
      <c r="C430" s="55"/>
      <c r="D430" s="55"/>
      <c r="E430" s="56"/>
      <c r="F430" s="55"/>
      <c r="G430" s="56"/>
      <c r="H430" s="55"/>
      <c r="I430" s="64"/>
      <c r="J430" s="57" t="str">
        <f t="shared" si="41"/>
        <v/>
      </c>
      <c r="K430" s="57" t="str">
        <f t="shared" si="42"/>
        <v/>
      </c>
      <c r="L430" s="57" t="str">
        <f xml:space="preserve">
IF(OR('Dados da OS'!$D$8=Parâmetros!$B$3,'Dados da OS'!$D$8=Parâmetros!$B$4),
  IF(OR(ISBLANK(D430),ISBLANK(F430)),
     IF(OR(B430="ALI",B430="AIE"),"L",IF(ISBLANK(B430),"","A")),
     IF(B430="EE",IF(F430&gt;=3,IF(D430&gt;=5,"H","A"),
     IF(F430&gt;=2,IF(D430&gt;=16,"H",IF(D430&lt;=4,"L","A")),IF(D430&lt;=15,"L","A"))),
     IF(OR(B430="SE",B430="CE"),IF(F430&gt;=4,IF(D430&gt;=6,"H","A"),IF(F430&gt;=2,IF(D430&gt;=20,"H",IF(D430&lt;=5,"L","A")),IF(D430&lt;=19,"L","A"))),
     IF(OR(B430="ALI",B430="AIE"),IF(F430&gt;=6,IF(D430&gt;=20,"H","A"),IF(F430&gt;=2,IF(D430&gt;=51,"H",IF(D430&lt;=19,"L","A")),IF(D430&lt;=50,"L","A"))))))),
IF('Dados da OS'!$D$8=Parâmetros!$B$6,"Indicativa",
IF('Dados da OS'!$D$8=Parâmetros!$B$5,"PFS","")))</f>
        <v/>
      </c>
      <c r="M430" s="57">
        <f>IFERROR(VLOOKUP(C430,'Fatores de Impacto e INMs'!$A$3:$D$32,3,0),1)</f>
        <v>1</v>
      </c>
      <c r="N430" s="57">
        <f>IFERROR(VLOOKUP(C430,'Fatores de Impacto e INMs'!$A$3:$E$32,5,0),1)</f>
        <v>1</v>
      </c>
      <c r="O430" s="63" t="str">
        <f xml:space="preserve">
IF(OR('Dados da OS'!$D$8="Selecione o tipo da contagem",ISBLANK('Dados da OS'!$D$8),B430="INM",B430="N/A",ISBLANK(B430),ISBLANK(C430),N430="VF"),"-",
   IF('Dados da OS'!$D$8=Parâmetros!$B$3,
      IF(OR(ISBLANK(D430),ISBLANK(F430)),"-",
         IF(L430="L","Baixa",IF(L430="A","Média",IF(L430="H","Alta","-")))),
      IF('Dados da OS'!$D$8=Parâmetros!$B$4,
         IF(OR(B430="ALI",B430="AIE"),"Baixa",IF(OR(B430="EE",B430="SE",B430="CE"),"Média","-")),
         IF(OR('Dados da OS'!$D$8=Parâmetros!$B$5,'Dados da OS'!$D$8=Parâmetros!$B$6),"-"))))</f>
        <v>-</v>
      </c>
      <c r="P430" s="59" t="str">
        <f xml:space="preserve">
IF(OR(ISBLANK(B430),ISBLANK(C430),B430="N/A",ISBLANK('Dados da OS'!$D$8)),"",
   IF(OR('Dados da OS'!$D$8=Parâmetros!$B$3,'Dados da OS'!$D$8=Parâmetros!$B$4),
      IF(OR(AND(B430="INM",N430&lt;&gt;"VF"),AND(N430="VF",B430&lt;&gt;"INM")),"",
        IF(AND(B430="INM",N430="VF"),IF(ISBLANK(H430),"",M430*H430),
        IF('Dados da OS'!$D$8=Parâmetros!$B$4,
           IF(OR(B430="CE",B430="EE"),4,IF(B430="SE",5,IF(B430="ALI",7,IF(B430="AIE",5,"")))),
        IF('Dados da OS'!$D$8=Parâmetros!$B$3,
           IF(OR(ISBLANK(D430),ISBLANK(F430)),"",
              IF(B430="ALI",IF(L430="L",7,IF(L430="A",10,15)),
                 IF(B430="AIE",IF(L430="L",5,IF(L430="A",7,10)),
                    IF(B430="SE",IF(L430="L",4,IF(L430="A",5,7)),
                       IF(OR(B430="EE",B430="CE"),IF(L430="L",3,IF(L430="A",4,6)),""))))))))),
   IF('Dados da OS'!$D$8=Parâmetros!$B$5,
      IF(OR(AND(B430="INM",N430&lt;&gt;"VF"),AND(N430="VF",B430&lt;&gt;"INM")),"",
         IF(B430="INM",IF(N430="VF",M430*H430,""),
            IF(B430="PE",4.6,
            IF(B430="AL",7,"")))),
   IF('Dados da OS'!$D$8=Parâmetros!$B$6,
      IF(B430="ALI",35,IF(B430="AIE",15,"")),""))
    )
)</f>
        <v/>
      </c>
      <c r="Q430" s="60" t="str">
        <f t="shared" si="43"/>
        <v/>
      </c>
      <c r="R430" s="61"/>
      <c r="S430" s="62"/>
      <c r="T430" s="80" t="s">
        <v>21</v>
      </c>
      <c r="U430" s="81"/>
      <c r="V430" s="99"/>
      <c r="W430" s="55"/>
      <c r="X430" s="55"/>
      <c r="Y430" s="56"/>
      <c r="Z430" s="55"/>
      <c r="AA430" s="56"/>
      <c r="AB430" s="55"/>
      <c r="AC430" s="57" t="str">
        <f t="shared" si="44"/>
        <v/>
      </c>
      <c r="AD430" s="57" t="str">
        <f t="shared" si="45"/>
        <v/>
      </c>
      <c r="AE430" s="57" t="str">
        <f xml:space="preserve">
IF(OR('Dados da OS'!$D$8=Parâmetros!$B$3,'Dados da OS'!$D$8=Parâmetros!$B$4),
  IF(OR(ISBLANK(X430),ISBLANK(Z430)),
     IF(OR(V430="ALI",V430="AIE"),"L",IF(ISBLANK(V430),"","A")),
     IF(V430="EE",IF(Z430&gt;=3,IF(X430&gt;=5,"H","A"),
     IF(Z430&gt;=2,IF(X430&gt;=16,"H",IF(X430&lt;=4,"L","A")),IF(X430&lt;=15,"L","A"))),
     IF(OR(V430="SE",V430="CE"),IF(Z430&gt;=4,IF(X430&gt;=6,"H","A"),IF(Z430&gt;=2,IF(X430&gt;=20,"H",IF(X430&lt;=5,"L","A")),IF(X430&lt;=19,"L","A"))),
     IF(OR(V430="ALI",V430="AIE"),IF(Z430&gt;=6,IF(X430&gt;=20,"H","A"),IF(Z430&gt;=2,IF(X430&gt;=51,"H",IF(X430&lt;=19,"L","A")),IF(X430&lt;=50,"L","A"))))))),
IF('Dados da OS'!$D$8=Parâmetros!$B$6,"Indicativa",
IF('Dados da OS'!$D$8=Parâmetros!$B$5,"PFS","")))</f>
        <v/>
      </c>
      <c r="AF430" s="57">
        <f>IFERROR(VLOOKUP(W430,'Fatores de Impacto e INMs'!$A$3:$D$32,3,0),1)</f>
        <v>1</v>
      </c>
      <c r="AG430" s="57">
        <f>IFERROR(VLOOKUP(W430,'Fatores de Impacto e INMs'!$A$3:$E$32,5,0),1)</f>
        <v>1</v>
      </c>
      <c r="AH430" s="82" t="str">
        <f xml:space="preserve">
IF(OR('Dados da OS'!$D$8="Selecione o tipo da contagem",ISBLANK('Dados da OS'!$D$8),V430="INM",V430="N/A",ISBLANK(V430),ISBLANK(W430),AG430="VF"),"-",
   IF('Dados da OS'!$D$8=Parâmetros!$B$3,
      IF(OR(ISBLANK(X430),ISBLANK(Z430)),"-",
         IF(AE430="L","Baixa",IF(AE430="A","Média",IF(AE430="H","Alta","-")))),
      IF('Dados da OS'!$D$8=Parâmetros!$B$4,
         IF(OR(V430="ALI",V430="AIE"),"Baixa",IF(OR(V430="EE",V430="SE",V430="CE"),"Média","-")),
         IF(OR('Dados da OS'!$D$8=Parâmetros!$B$5,'Dados da OS'!$D$8=Parâmetros!$B$6),"-"))))</f>
        <v>-</v>
      </c>
      <c r="AI430" s="83" t="str">
        <f xml:space="preserve">
IF(OR(ISBLANK(V430),ISBLANK(U430),ISBLANK(W430),V430="N/A",ISBLANK('Dados da OS'!$D$8)),"",
   IF(OR('Dados da OS'!$D$8=Parâmetros!$B$3,'Dados da OS'!$D$8=Parâmetros!$B$4),
      IF(OR(AND(V430="INM",AG430&lt;&gt;"VF"),AND(AG430="VF",V430&lt;&gt;"INM")),"",
        IF(AND(V430="INM",AG430="VF"),IF(ISBLANK(AB430),"",AF430*AB430),
        IF('Dados da OS'!$D$8=Parâmetros!$B$4,
           IF(OR(V430="CE",V430="EE"),4,IF(V430="SE",5,IF(V430="ALI",7,IF(V430="AIE",5,"")))),
        IF('Dados da OS'!$D$8=Parâmetros!$B$3,
           IF(OR(ISBLANK(X430),ISBLANK(Z430)),"",
              IF(V430="ALI",IF(AE430="L",7,IF(AE430="A",10,15)),
                 IF(V430="AIE",IF(AE430="L",5,IF(AE430="A",7,10)),
                    IF(V430="SE",IF(AE430="L",4,IF(AE430="A",5,7)),
                       IF(OR(V430="EE",V430="CE"),IF(AE430="L",3,IF(AE430="A",4,6)),""))))))))),
   IF('Dados da OS'!$D$8=Parâmetros!$B$5,
      IF(OR(AND(V430="INM",AG430&lt;&gt;"VF"),AND(AG430="VF",V430&lt;&gt;"INM")),"",
         IF(V430="INM",IF(AG430="VF",AF430*AB430,""),
            IF(V430="PE",4.6,
            IF(V430="AL",7,"")))),
   IF('Dados da OS'!$D$8=Parâmetros!$B$6,
      IF(V430="ALI",35,IF(V430="AIE",15,"")),""))
    )
)</f>
        <v/>
      </c>
      <c r="AJ430" s="82" t="str">
        <f t="shared" si="46"/>
        <v/>
      </c>
      <c r="AK430" s="84"/>
      <c r="AL430" s="85" t="s">
        <v>21</v>
      </c>
      <c r="AM430" s="86"/>
      <c r="AN430" s="85"/>
      <c r="AO430" s="87"/>
      <c r="AP430" s="85"/>
      <c r="AQ430" s="86"/>
      <c r="AR430" s="85"/>
    </row>
    <row r="431" spans="1:44" ht="15.75" customHeight="1">
      <c r="A431" s="54"/>
      <c r="B431" s="100"/>
      <c r="C431" s="55"/>
      <c r="D431" s="55"/>
      <c r="E431" s="56"/>
      <c r="F431" s="55"/>
      <c r="G431" s="56"/>
      <c r="H431" s="55"/>
      <c r="I431" s="64"/>
      <c r="J431" s="57" t="str">
        <f t="shared" si="41"/>
        <v/>
      </c>
      <c r="K431" s="57" t="str">
        <f t="shared" si="42"/>
        <v/>
      </c>
      <c r="L431" s="57" t="str">
        <f xml:space="preserve">
IF(OR('Dados da OS'!$D$8=Parâmetros!$B$3,'Dados da OS'!$D$8=Parâmetros!$B$4),
  IF(OR(ISBLANK(D431),ISBLANK(F431)),
     IF(OR(B431="ALI",B431="AIE"),"L",IF(ISBLANK(B431),"","A")),
     IF(B431="EE",IF(F431&gt;=3,IF(D431&gt;=5,"H","A"),
     IF(F431&gt;=2,IF(D431&gt;=16,"H",IF(D431&lt;=4,"L","A")),IF(D431&lt;=15,"L","A"))),
     IF(OR(B431="SE",B431="CE"),IF(F431&gt;=4,IF(D431&gt;=6,"H","A"),IF(F431&gt;=2,IF(D431&gt;=20,"H",IF(D431&lt;=5,"L","A")),IF(D431&lt;=19,"L","A"))),
     IF(OR(B431="ALI",B431="AIE"),IF(F431&gt;=6,IF(D431&gt;=20,"H","A"),IF(F431&gt;=2,IF(D431&gt;=51,"H",IF(D431&lt;=19,"L","A")),IF(D431&lt;=50,"L","A"))))))),
IF('Dados da OS'!$D$8=Parâmetros!$B$6,"Indicativa",
IF('Dados da OS'!$D$8=Parâmetros!$B$5,"PFS","")))</f>
        <v/>
      </c>
      <c r="M431" s="57">
        <f>IFERROR(VLOOKUP(C431,'Fatores de Impacto e INMs'!$A$3:$D$32,3,0),1)</f>
        <v>1</v>
      </c>
      <c r="N431" s="57">
        <f>IFERROR(VLOOKUP(C431,'Fatores de Impacto e INMs'!$A$3:$E$32,5,0),1)</f>
        <v>1</v>
      </c>
      <c r="O431" s="63" t="str">
        <f xml:space="preserve">
IF(OR('Dados da OS'!$D$8="Selecione o tipo da contagem",ISBLANK('Dados da OS'!$D$8),B431="INM",B431="N/A",ISBLANK(B431),ISBLANK(C431),N431="VF"),"-",
   IF('Dados da OS'!$D$8=Parâmetros!$B$3,
      IF(OR(ISBLANK(D431),ISBLANK(F431)),"-",
         IF(L431="L","Baixa",IF(L431="A","Média",IF(L431="H","Alta","-")))),
      IF('Dados da OS'!$D$8=Parâmetros!$B$4,
         IF(OR(B431="ALI",B431="AIE"),"Baixa",IF(OR(B431="EE",B431="SE",B431="CE"),"Média","-")),
         IF(OR('Dados da OS'!$D$8=Parâmetros!$B$5,'Dados da OS'!$D$8=Parâmetros!$B$6),"-"))))</f>
        <v>-</v>
      </c>
      <c r="P431" s="59" t="str">
        <f xml:space="preserve">
IF(OR(ISBLANK(B431),ISBLANK(C431),B431="N/A",ISBLANK('Dados da OS'!$D$8)),"",
   IF(OR('Dados da OS'!$D$8=Parâmetros!$B$3,'Dados da OS'!$D$8=Parâmetros!$B$4),
      IF(OR(AND(B431="INM",N431&lt;&gt;"VF"),AND(N431="VF",B431&lt;&gt;"INM")),"",
        IF(AND(B431="INM",N431="VF"),IF(ISBLANK(H431),"",M431*H431),
        IF('Dados da OS'!$D$8=Parâmetros!$B$4,
           IF(OR(B431="CE",B431="EE"),4,IF(B431="SE",5,IF(B431="ALI",7,IF(B431="AIE",5,"")))),
        IF('Dados da OS'!$D$8=Parâmetros!$B$3,
           IF(OR(ISBLANK(D431),ISBLANK(F431)),"",
              IF(B431="ALI",IF(L431="L",7,IF(L431="A",10,15)),
                 IF(B431="AIE",IF(L431="L",5,IF(L431="A",7,10)),
                    IF(B431="SE",IF(L431="L",4,IF(L431="A",5,7)),
                       IF(OR(B431="EE",B431="CE"),IF(L431="L",3,IF(L431="A",4,6)),""))))))))),
   IF('Dados da OS'!$D$8=Parâmetros!$B$5,
      IF(OR(AND(B431="INM",N431&lt;&gt;"VF"),AND(N431="VF",B431&lt;&gt;"INM")),"",
         IF(B431="INM",IF(N431="VF",M431*H431,""),
            IF(B431="PE",4.6,
            IF(B431="AL",7,"")))),
   IF('Dados da OS'!$D$8=Parâmetros!$B$6,
      IF(B431="ALI",35,IF(B431="AIE",15,"")),""))
    )
)</f>
        <v/>
      </c>
      <c r="Q431" s="60" t="str">
        <f t="shared" si="43"/>
        <v/>
      </c>
      <c r="R431" s="61"/>
      <c r="S431" s="62"/>
      <c r="T431" s="80" t="s">
        <v>21</v>
      </c>
      <c r="U431" s="81"/>
      <c r="V431" s="99"/>
      <c r="W431" s="55"/>
      <c r="X431" s="55"/>
      <c r="Y431" s="56"/>
      <c r="Z431" s="55"/>
      <c r="AA431" s="56"/>
      <c r="AB431" s="55"/>
      <c r="AC431" s="57" t="str">
        <f t="shared" si="44"/>
        <v/>
      </c>
      <c r="AD431" s="57" t="str">
        <f t="shared" si="45"/>
        <v/>
      </c>
      <c r="AE431" s="57" t="str">
        <f xml:space="preserve">
IF(OR('Dados da OS'!$D$8=Parâmetros!$B$3,'Dados da OS'!$D$8=Parâmetros!$B$4),
  IF(OR(ISBLANK(X431),ISBLANK(Z431)),
     IF(OR(V431="ALI",V431="AIE"),"L",IF(ISBLANK(V431),"","A")),
     IF(V431="EE",IF(Z431&gt;=3,IF(X431&gt;=5,"H","A"),
     IF(Z431&gt;=2,IF(X431&gt;=16,"H",IF(X431&lt;=4,"L","A")),IF(X431&lt;=15,"L","A"))),
     IF(OR(V431="SE",V431="CE"),IF(Z431&gt;=4,IF(X431&gt;=6,"H","A"),IF(Z431&gt;=2,IF(X431&gt;=20,"H",IF(X431&lt;=5,"L","A")),IF(X431&lt;=19,"L","A"))),
     IF(OR(V431="ALI",V431="AIE"),IF(Z431&gt;=6,IF(X431&gt;=20,"H","A"),IF(Z431&gt;=2,IF(X431&gt;=51,"H",IF(X431&lt;=19,"L","A")),IF(X431&lt;=50,"L","A"))))))),
IF('Dados da OS'!$D$8=Parâmetros!$B$6,"Indicativa",
IF('Dados da OS'!$D$8=Parâmetros!$B$5,"PFS","")))</f>
        <v/>
      </c>
      <c r="AF431" s="57">
        <f>IFERROR(VLOOKUP(W431,'Fatores de Impacto e INMs'!$A$3:$D$32,3,0),1)</f>
        <v>1</v>
      </c>
      <c r="AG431" s="57">
        <f>IFERROR(VLOOKUP(W431,'Fatores de Impacto e INMs'!$A$3:$E$32,5,0),1)</f>
        <v>1</v>
      </c>
      <c r="AH431" s="82" t="str">
        <f xml:space="preserve">
IF(OR('Dados da OS'!$D$8="Selecione o tipo da contagem",ISBLANK('Dados da OS'!$D$8),V431="INM",V431="N/A",ISBLANK(V431),ISBLANK(W431),AG431="VF"),"-",
   IF('Dados da OS'!$D$8=Parâmetros!$B$3,
      IF(OR(ISBLANK(X431),ISBLANK(Z431)),"-",
         IF(AE431="L","Baixa",IF(AE431="A","Média",IF(AE431="H","Alta","-")))),
      IF('Dados da OS'!$D$8=Parâmetros!$B$4,
         IF(OR(V431="ALI",V431="AIE"),"Baixa",IF(OR(V431="EE",V431="SE",V431="CE"),"Média","-")),
         IF(OR('Dados da OS'!$D$8=Parâmetros!$B$5,'Dados da OS'!$D$8=Parâmetros!$B$6),"-"))))</f>
        <v>-</v>
      </c>
      <c r="AI431" s="83" t="str">
        <f xml:space="preserve">
IF(OR(ISBLANK(V431),ISBLANK(U431),ISBLANK(W431),V431="N/A",ISBLANK('Dados da OS'!$D$8)),"",
   IF(OR('Dados da OS'!$D$8=Parâmetros!$B$3,'Dados da OS'!$D$8=Parâmetros!$B$4),
      IF(OR(AND(V431="INM",AG431&lt;&gt;"VF"),AND(AG431="VF",V431&lt;&gt;"INM")),"",
        IF(AND(V431="INM",AG431="VF"),IF(ISBLANK(AB431),"",AF431*AB431),
        IF('Dados da OS'!$D$8=Parâmetros!$B$4,
           IF(OR(V431="CE",V431="EE"),4,IF(V431="SE",5,IF(V431="ALI",7,IF(V431="AIE",5,"")))),
        IF('Dados da OS'!$D$8=Parâmetros!$B$3,
           IF(OR(ISBLANK(X431),ISBLANK(Z431)),"",
              IF(V431="ALI",IF(AE431="L",7,IF(AE431="A",10,15)),
                 IF(V431="AIE",IF(AE431="L",5,IF(AE431="A",7,10)),
                    IF(V431="SE",IF(AE431="L",4,IF(AE431="A",5,7)),
                       IF(OR(V431="EE",V431="CE"),IF(AE431="L",3,IF(AE431="A",4,6)),""))))))))),
   IF('Dados da OS'!$D$8=Parâmetros!$B$5,
      IF(OR(AND(V431="INM",AG431&lt;&gt;"VF"),AND(AG431="VF",V431&lt;&gt;"INM")),"",
         IF(V431="INM",IF(AG431="VF",AF431*AB431,""),
            IF(V431="PE",4.6,
            IF(V431="AL",7,"")))),
   IF('Dados da OS'!$D$8=Parâmetros!$B$6,
      IF(V431="ALI",35,IF(V431="AIE",15,"")),""))
    )
)</f>
        <v/>
      </c>
      <c r="AJ431" s="82" t="str">
        <f t="shared" si="46"/>
        <v/>
      </c>
      <c r="AK431" s="84"/>
      <c r="AL431" s="85" t="s">
        <v>21</v>
      </c>
      <c r="AM431" s="86"/>
      <c r="AN431" s="85"/>
      <c r="AO431" s="87"/>
      <c r="AP431" s="85"/>
      <c r="AQ431" s="86"/>
      <c r="AR431" s="85"/>
    </row>
    <row r="432" spans="1:44" ht="15.75" customHeight="1">
      <c r="A432" s="54"/>
      <c r="B432" s="100"/>
      <c r="C432" s="55"/>
      <c r="D432" s="55"/>
      <c r="E432" s="56"/>
      <c r="F432" s="55"/>
      <c r="G432" s="56"/>
      <c r="H432" s="55"/>
      <c r="I432" s="64"/>
      <c r="J432" s="57" t="str">
        <f t="shared" si="41"/>
        <v/>
      </c>
      <c r="K432" s="57" t="str">
        <f t="shared" si="42"/>
        <v/>
      </c>
      <c r="L432" s="57" t="str">
        <f xml:space="preserve">
IF(OR('Dados da OS'!$D$8=Parâmetros!$B$3,'Dados da OS'!$D$8=Parâmetros!$B$4),
  IF(OR(ISBLANK(D432),ISBLANK(F432)),
     IF(OR(B432="ALI",B432="AIE"),"L",IF(ISBLANK(B432),"","A")),
     IF(B432="EE",IF(F432&gt;=3,IF(D432&gt;=5,"H","A"),
     IF(F432&gt;=2,IF(D432&gt;=16,"H",IF(D432&lt;=4,"L","A")),IF(D432&lt;=15,"L","A"))),
     IF(OR(B432="SE",B432="CE"),IF(F432&gt;=4,IF(D432&gt;=6,"H","A"),IF(F432&gt;=2,IF(D432&gt;=20,"H",IF(D432&lt;=5,"L","A")),IF(D432&lt;=19,"L","A"))),
     IF(OR(B432="ALI",B432="AIE"),IF(F432&gt;=6,IF(D432&gt;=20,"H","A"),IF(F432&gt;=2,IF(D432&gt;=51,"H",IF(D432&lt;=19,"L","A")),IF(D432&lt;=50,"L","A"))))))),
IF('Dados da OS'!$D$8=Parâmetros!$B$6,"Indicativa",
IF('Dados da OS'!$D$8=Parâmetros!$B$5,"PFS","")))</f>
        <v/>
      </c>
      <c r="M432" s="57">
        <f>IFERROR(VLOOKUP(C432,'Fatores de Impacto e INMs'!$A$3:$D$32,3,0),1)</f>
        <v>1</v>
      </c>
      <c r="N432" s="57">
        <f>IFERROR(VLOOKUP(C432,'Fatores de Impacto e INMs'!$A$3:$E$32,5,0),1)</f>
        <v>1</v>
      </c>
      <c r="O432" s="63" t="str">
        <f xml:space="preserve">
IF(OR('Dados da OS'!$D$8="Selecione o tipo da contagem",ISBLANK('Dados da OS'!$D$8),B432="INM",B432="N/A",ISBLANK(B432),ISBLANK(C432),N432="VF"),"-",
   IF('Dados da OS'!$D$8=Parâmetros!$B$3,
      IF(OR(ISBLANK(D432),ISBLANK(F432)),"-",
         IF(L432="L","Baixa",IF(L432="A","Média",IF(L432="H","Alta","-")))),
      IF('Dados da OS'!$D$8=Parâmetros!$B$4,
         IF(OR(B432="ALI",B432="AIE"),"Baixa",IF(OR(B432="EE",B432="SE",B432="CE"),"Média","-")),
         IF(OR('Dados da OS'!$D$8=Parâmetros!$B$5,'Dados da OS'!$D$8=Parâmetros!$B$6),"-"))))</f>
        <v>-</v>
      </c>
      <c r="P432" s="59" t="str">
        <f xml:space="preserve">
IF(OR(ISBLANK(B432),ISBLANK(C432),B432="N/A",ISBLANK('Dados da OS'!$D$8)),"",
   IF(OR('Dados da OS'!$D$8=Parâmetros!$B$3,'Dados da OS'!$D$8=Parâmetros!$B$4),
      IF(OR(AND(B432="INM",N432&lt;&gt;"VF"),AND(N432="VF",B432&lt;&gt;"INM")),"",
        IF(AND(B432="INM",N432="VF"),IF(ISBLANK(H432),"",M432*H432),
        IF('Dados da OS'!$D$8=Parâmetros!$B$4,
           IF(OR(B432="CE",B432="EE"),4,IF(B432="SE",5,IF(B432="ALI",7,IF(B432="AIE",5,"")))),
        IF('Dados da OS'!$D$8=Parâmetros!$B$3,
           IF(OR(ISBLANK(D432),ISBLANK(F432)),"",
              IF(B432="ALI",IF(L432="L",7,IF(L432="A",10,15)),
                 IF(B432="AIE",IF(L432="L",5,IF(L432="A",7,10)),
                    IF(B432="SE",IF(L432="L",4,IF(L432="A",5,7)),
                       IF(OR(B432="EE",B432="CE"),IF(L432="L",3,IF(L432="A",4,6)),""))))))))),
   IF('Dados da OS'!$D$8=Parâmetros!$B$5,
      IF(OR(AND(B432="INM",N432&lt;&gt;"VF"),AND(N432="VF",B432&lt;&gt;"INM")),"",
         IF(B432="INM",IF(N432="VF",M432*H432,""),
            IF(B432="PE",4.6,
            IF(B432="AL",7,"")))),
   IF('Dados da OS'!$D$8=Parâmetros!$B$6,
      IF(B432="ALI",35,IF(B432="AIE",15,"")),""))
    )
)</f>
        <v/>
      </c>
      <c r="Q432" s="60" t="str">
        <f t="shared" si="43"/>
        <v/>
      </c>
      <c r="R432" s="61"/>
      <c r="S432" s="62"/>
      <c r="T432" s="80" t="s">
        <v>21</v>
      </c>
      <c r="U432" s="81"/>
      <c r="V432" s="99"/>
      <c r="W432" s="55"/>
      <c r="X432" s="55"/>
      <c r="Y432" s="56"/>
      <c r="Z432" s="55"/>
      <c r="AA432" s="56"/>
      <c r="AB432" s="55"/>
      <c r="AC432" s="57" t="str">
        <f t="shared" si="44"/>
        <v/>
      </c>
      <c r="AD432" s="57" t="str">
        <f t="shared" si="45"/>
        <v/>
      </c>
      <c r="AE432" s="57" t="str">
        <f xml:space="preserve">
IF(OR('Dados da OS'!$D$8=Parâmetros!$B$3,'Dados da OS'!$D$8=Parâmetros!$B$4),
  IF(OR(ISBLANK(X432),ISBLANK(Z432)),
     IF(OR(V432="ALI",V432="AIE"),"L",IF(ISBLANK(V432),"","A")),
     IF(V432="EE",IF(Z432&gt;=3,IF(X432&gt;=5,"H","A"),
     IF(Z432&gt;=2,IF(X432&gt;=16,"H",IF(X432&lt;=4,"L","A")),IF(X432&lt;=15,"L","A"))),
     IF(OR(V432="SE",V432="CE"),IF(Z432&gt;=4,IF(X432&gt;=6,"H","A"),IF(Z432&gt;=2,IF(X432&gt;=20,"H",IF(X432&lt;=5,"L","A")),IF(X432&lt;=19,"L","A"))),
     IF(OR(V432="ALI",V432="AIE"),IF(Z432&gt;=6,IF(X432&gt;=20,"H","A"),IF(Z432&gt;=2,IF(X432&gt;=51,"H",IF(X432&lt;=19,"L","A")),IF(X432&lt;=50,"L","A"))))))),
IF('Dados da OS'!$D$8=Parâmetros!$B$6,"Indicativa",
IF('Dados da OS'!$D$8=Parâmetros!$B$5,"PFS","")))</f>
        <v/>
      </c>
      <c r="AF432" s="57">
        <f>IFERROR(VLOOKUP(W432,'Fatores de Impacto e INMs'!$A$3:$D$32,3,0),1)</f>
        <v>1</v>
      </c>
      <c r="AG432" s="57">
        <f>IFERROR(VLOOKUP(W432,'Fatores de Impacto e INMs'!$A$3:$E$32,5,0),1)</f>
        <v>1</v>
      </c>
      <c r="AH432" s="82" t="str">
        <f xml:space="preserve">
IF(OR('Dados da OS'!$D$8="Selecione o tipo da contagem",ISBLANK('Dados da OS'!$D$8),V432="INM",V432="N/A",ISBLANK(V432),ISBLANK(W432),AG432="VF"),"-",
   IF('Dados da OS'!$D$8=Parâmetros!$B$3,
      IF(OR(ISBLANK(X432),ISBLANK(Z432)),"-",
         IF(AE432="L","Baixa",IF(AE432="A","Média",IF(AE432="H","Alta","-")))),
      IF('Dados da OS'!$D$8=Parâmetros!$B$4,
         IF(OR(V432="ALI",V432="AIE"),"Baixa",IF(OR(V432="EE",V432="SE",V432="CE"),"Média","-")),
         IF(OR('Dados da OS'!$D$8=Parâmetros!$B$5,'Dados da OS'!$D$8=Parâmetros!$B$6),"-"))))</f>
        <v>-</v>
      </c>
      <c r="AI432" s="83" t="str">
        <f xml:space="preserve">
IF(OR(ISBLANK(V432),ISBLANK(U432),ISBLANK(W432),V432="N/A",ISBLANK('Dados da OS'!$D$8)),"",
   IF(OR('Dados da OS'!$D$8=Parâmetros!$B$3,'Dados da OS'!$D$8=Parâmetros!$B$4),
      IF(OR(AND(V432="INM",AG432&lt;&gt;"VF"),AND(AG432="VF",V432&lt;&gt;"INM")),"",
        IF(AND(V432="INM",AG432="VF"),IF(ISBLANK(AB432),"",AF432*AB432),
        IF('Dados da OS'!$D$8=Parâmetros!$B$4,
           IF(OR(V432="CE",V432="EE"),4,IF(V432="SE",5,IF(V432="ALI",7,IF(V432="AIE",5,"")))),
        IF('Dados da OS'!$D$8=Parâmetros!$B$3,
           IF(OR(ISBLANK(X432),ISBLANK(Z432)),"",
              IF(V432="ALI",IF(AE432="L",7,IF(AE432="A",10,15)),
                 IF(V432="AIE",IF(AE432="L",5,IF(AE432="A",7,10)),
                    IF(V432="SE",IF(AE432="L",4,IF(AE432="A",5,7)),
                       IF(OR(V432="EE",V432="CE"),IF(AE432="L",3,IF(AE432="A",4,6)),""))))))))),
   IF('Dados da OS'!$D$8=Parâmetros!$B$5,
      IF(OR(AND(V432="INM",AG432&lt;&gt;"VF"),AND(AG432="VF",V432&lt;&gt;"INM")),"",
         IF(V432="INM",IF(AG432="VF",AF432*AB432,""),
            IF(V432="PE",4.6,
            IF(V432="AL",7,"")))),
   IF('Dados da OS'!$D$8=Parâmetros!$B$6,
      IF(V432="ALI",35,IF(V432="AIE",15,"")),""))
    )
)</f>
        <v/>
      </c>
      <c r="AJ432" s="82" t="str">
        <f t="shared" si="46"/>
        <v/>
      </c>
      <c r="AK432" s="84"/>
      <c r="AL432" s="85" t="s">
        <v>21</v>
      </c>
      <c r="AM432" s="86"/>
      <c r="AN432" s="85"/>
      <c r="AO432" s="87"/>
      <c r="AP432" s="85"/>
      <c r="AQ432" s="86"/>
      <c r="AR432" s="85"/>
    </row>
    <row r="433" spans="1:44" ht="15.75" customHeight="1">
      <c r="A433" s="54"/>
      <c r="B433" s="100"/>
      <c r="C433" s="55"/>
      <c r="D433" s="55"/>
      <c r="E433" s="56"/>
      <c r="F433" s="55"/>
      <c r="G433" s="56"/>
      <c r="H433" s="55"/>
      <c r="I433" s="64"/>
      <c r="J433" s="57" t="str">
        <f t="shared" si="41"/>
        <v/>
      </c>
      <c r="K433" s="57" t="str">
        <f t="shared" si="42"/>
        <v/>
      </c>
      <c r="L433" s="57" t="str">
        <f xml:space="preserve">
IF(OR('Dados da OS'!$D$8=Parâmetros!$B$3,'Dados da OS'!$D$8=Parâmetros!$B$4),
  IF(OR(ISBLANK(D433),ISBLANK(F433)),
     IF(OR(B433="ALI",B433="AIE"),"L",IF(ISBLANK(B433),"","A")),
     IF(B433="EE",IF(F433&gt;=3,IF(D433&gt;=5,"H","A"),
     IF(F433&gt;=2,IF(D433&gt;=16,"H",IF(D433&lt;=4,"L","A")),IF(D433&lt;=15,"L","A"))),
     IF(OR(B433="SE",B433="CE"),IF(F433&gt;=4,IF(D433&gt;=6,"H","A"),IF(F433&gt;=2,IF(D433&gt;=20,"H",IF(D433&lt;=5,"L","A")),IF(D433&lt;=19,"L","A"))),
     IF(OR(B433="ALI",B433="AIE"),IF(F433&gt;=6,IF(D433&gt;=20,"H","A"),IF(F433&gt;=2,IF(D433&gt;=51,"H",IF(D433&lt;=19,"L","A")),IF(D433&lt;=50,"L","A"))))))),
IF('Dados da OS'!$D$8=Parâmetros!$B$6,"Indicativa",
IF('Dados da OS'!$D$8=Parâmetros!$B$5,"PFS","")))</f>
        <v/>
      </c>
      <c r="M433" s="57">
        <f>IFERROR(VLOOKUP(C433,'Fatores de Impacto e INMs'!$A$3:$D$32,3,0),1)</f>
        <v>1</v>
      </c>
      <c r="N433" s="57">
        <f>IFERROR(VLOOKUP(C433,'Fatores de Impacto e INMs'!$A$3:$E$32,5,0),1)</f>
        <v>1</v>
      </c>
      <c r="O433" s="63" t="str">
        <f xml:space="preserve">
IF(OR('Dados da OS'!$D$8="Selecione o tipo da contagem",ISBLANK('Dados da OS'!$D$8),B433="INM",B433="N/A",ISBLANK(B433),ISBLANK(C433),N433="VF"),"-",
   IF('Dados da OS'!$D$8=Parâmetros!$B$3,
      IF(OR(ISBLANK(D433),ISBLANK(F433)),"-",
         IF(L433="L","Baixa",IF(L433="A","Média",IF(L433="H","Alta","-")))),
      IF('Dados da OS'!$D$8=Parâmetros!$B$4,
         IF(OR(B433="ALI",B433="AIE"),"Baixa",IF(OR(B433="EE",B433="SE",B433="CE"),"Média","-")),
         IF(OR('Dados da OS'!$D$8=Parâmetros!$B$5,'Dados da OS'!$D$8=Parâmetros!$B$6),"-"))))</f>
        <v>-</v>
      </c>
      <c r="P433" s="59" t="str">
        <f xml:space="preserve">
IF(OR(ISBLANK(B433),ISBLANK(C433),B433="N/A",ISBLANK('Dados da OS'!$D$8)),"",
   IF(OR('Dados da OS'!$D$8=Parâmetros!$B$3,'Dados da OS'!$D$8=Parâmetros!$B$4),
      IF(OR(AND(B433="INM",N433&lt;&gt;"VF"),AND(N433="VF",B433&lt;&gt;"INM")),"",
        IF(AND(B433="INM",N433="VF"),IF(ISBLANK(H433),"",M433*H433),
        IF('Dados da OS'!$D$8=Parâmetros!$B$4,
           IF(OR(B433="CE",B433="EE"),4,IF(B433="SE",5,IF(B433="ALI",7,IF(B433="AIE",5,"")))),
        IF('Dados da OS'!$D$8=Parâmetros!$B$3,
           IF(OR(ISBLANK(D433),ISBLANK(F433)),"",
              IF(B433="ALI",IF(L433="L",7,IF(L433="A",10,15)),
                 IF(B433="AIE",IF(L433="L",5,IF(L433="A",7,10)),
                    IF(B433="SE",IF(L433="L",4,IF(L433="A",5,7)),
                       IF(OR(B433="EE",B433="CE"),IF(L433="L",3,IF(L433="A",4,6)),""))))))))),
   IF('Dados da OS'!$D$8=Parâmetros!$B$5,
      IF(OR(AND(B433="INM",N433&lt;&gt;"VF"),AND(N433="VF",B433&lt;&gt;"INM")),"",
         IF(B433="INM",IF(N433="VF",M433*H433,""),
            IF(B433="PE",4.6,
            IF(B433="AL",7,"")))),
   IF('Dados da OS'!$D$8=Parâmetros!$B$6,
      IF(B433="ALI",35,IF(B433="AIE",15,"")),""))
    )
)</f>
        <v/>
      </c>
      <c r="Q433" s="60" t="str">
        <f t="shared" si="43"/>
        <v/>
      </c>
      <c r="R433" s="61"/>
      <c r="S433" s="62"/>
      <c r="T433" s="80" t="s">
        <v>21</v>
      </c>
      <c r="U433" s="81"/>
      <c r="V433" s="99"/>
      <c r="W433" s="55"/>
      <c r="X433" s="55"/>
      <c r="Y433" s="56"/>
      <c r="Z433" s="55"/>
      <c r="AA433" s="56"/>
      <c r="AB433" s="55"/>
      <c r="AC433" s="57" t="str">
        <f t="shared" si="44"/>
        <v/>
      </c>
      <c r="AD433" s="57" t="str">
        <f t="shared" si="45"/>
        <v/>
      </c>
      <c r="AE433" s="57" t="str">
        <f xml:space="preserve">
IF(OR('Dados da OS'!$D$8=Parâmetros!$B$3,'Dados da OS'!$D$8=Parâmetros!$B$4),
  IF(OR(ISBLANK(X433),ISBLANK(Z433)),
     IF(OR(V433="ALI",V433="AIE"),"L",IF(ISBLANK(V433),"","A")),
     IF(V433="EE",IF(Z433&gt;=3,IF(X433&gt;=5,"H","A"),
     IF(Z433&gt;=2,IF(X433&gt;=16,"H",IF(X433&lt;=4,"L","A")),IF(X433&lt;=15,"L","A"))),
     IF(OR(V433="SE",V433="CE"),IF(Z433&gt;=4,IF(X433&gt;=6,"H","A"),IF(Z433&gt;=2,IF(X433&gt;=20,"H",IF(X433&lt;=5,"L","A")),IF(X433&lt;=19,"L","A"))),
     IF(OR(V433="ALI",V433="AIE"),IF(Z433&gt;=6,IF(X433&gt;=20,"H","A"),IF(Z433&gt;=2,IF(X433&gt;=51,"H",IF(X433&lt;=19,"L","A")),IF(X433&lt;=50,"L","A"))))))),
IF('Dados da OS'!$D$8=Parâmetros!$B$6,"Indicativa",
IF('Dados da OS'!$D$8=Parâmetros!$B$5,"PFS","")))</f>
        <v/>
      </c>
      <c r="AF433" s="57">
        <f>IFERROR(VLOOKUP(W433,'Fatores de Impacto e INMs'!$A$3:$D$32,3,0),1)</f>
        <v>1</v>
      </c>
      <c r="AG433" s="57">
        <f>IFERROR(VLOOKUP(W433,'Fatores de Impacto e INMs'!$A$3:$E$32,5,0),1)</f>
        <v>1</v>
      </c>
      <c r="AH433" s="82" t="str">
        <f xml:space="preserve">
IF(OR('Dados da OS'!$D$8="Selecione o tipo da contagem",ISBLANK('Dados da OS'!$D$8),V433="INM",V433="N/A",ISBLANK(V433),ISBLANK(W433),AG433="VF"),"-",
   IF('Dados da OS'!$D$8=Parâmetros!$B$3,
      IF(OR(ISBLANK(X433),ISBLANK(Z433)),"-",
         IF(AE433="L","Baixa",IF(AE433="A","Média",IF(AE433="H","Alta","-")))),
      IF('Dados da OS'!$D$8=Parâmetros!$B$4,
         IF(OR(V433="ALI",V433="AIE"),"Baixa",IF(OR(V433="EE",V433="SE",V433="CE"),"Média","-")),
         IF(OR('Dados da OS'!$D$8=Parâmetros!$B$5,'Dados da OS'!$D$8=Parâmetros!$B$6),"-"))))</f>
        <v>-</v>
      </c>
      <c r="AI433" s="83" t="str">
        <f xml:space="preserve">
IF(OR(ISBLANK(V433),ISBLANK(U433),ISBLANK(W433),V433="N/A",ISBLANK('Dados da OS'!$D$8)),"",
   IF(OR('Dados da OS'!$D$8=Parâmetros!$B$3,'Dados da OS'!$D$8=Parâmetros!$B$4),
      IF(OR(AND(V433="INM",AG433&lt;&gt;"VF"),AND(AG433="VF",V433&lt;&gt;"INM")),"",
        IF(AND(V433="INM",AG433="VF"),IF(ISBLANK(AB433),"",AF433*AB433),
        IF('Dados da OS'!$D$8=Parâmetros!$B$4,
           IF(OR(V433="CE",V433="EE"),4,IF(V433="SE",5,IF(V433="ALI",7,IF(V433="AIE",5,"")))),
        IF('Dados da OS'!$D$8=Parâmetros!$B$3,
           IF(OR(ISBLANK(X433),ISBLANK(Z433)),"",
              IF(V433="ALI",IF(AE433="L",7,IF(AE433="A",10,15)),
                 IF(V433="AIE",IF(AE433="L",5,IF(AE433="A",7,10)),
                    IF(V433="SE",IF(AE433="L",4,IF(AE433="A",5,7)),
                       IF(OR(V433="EE",V433="CE"),IF(AE433="L",3,IF(AE433="A",4,6)),""))))))))),
   IF('Dados da OS'!$D$8=Parâmetros!$B$5,
      IF(OR(AND(V433="INM",AG433&lt;&gt;"VF"),AND(AG433="VF",V433&lt;&gt;"INM")),"",
         IF(V433="INM",IF(AG433="VF",AF433*AB433,""),
            IF(V433="PE",4.6,
            IF(V433="AL",7,"")))),
   IF('Dados da OS'!$D$8=Parâmetros!$B$6,
      IF(V433="ALI",35,IF(V433="AIE",15,"")),""))
    )
)</f>
        <v/>
      </c>
      <c r="AJ433" s="82" t="str">
        <f t="shared" si="46"/>
        <v/>
      </c>
      <c r="AK433" s="84"/>
      <c r="AL433" s="85" t="s">
        <v>21</v>
      </c>
      <c r="AM433" s="86"/>
      <c r="AN433" s="85"/>
      <c r="AO433" s="87"/>
      <c r="AP433" s="85"/>
      <c r="AQ433" s="86"/>
      <c r="AR433" s="85"/>
    </row>
    <row r="434" spans="1:44" ht="15.75" customHeight="1">
      <c r="A434" s="54"/>
      <c r="B434" s="100"/>
      <c r="C434" s="55"/>
      <c r="D434" s="55"/>
      <c r="E434" s="56"/>
      <c r="F434" s="55"/>
      <c r="G434" s="56"/>
      <c r="H434" s="55"/>
      <c r="I434" s="64"/>
      <c r="J434" s="57" t="str">
        <f t="shared" si="41"/>
        <v/>
      </c>
      <c r="K434" s="57" t="str">
        <f t="shared" si="42"/>
        <v/>
      </c>
      <c r="L434" s="57" t="str">
        <f xml:space="preserve">
IF(OR('Dados da OS'!$D$8=Parâmetros!$B$3,'Dados da OS'!$D$8=Parâmetros!$B$4),
  IF(OR(ISBLANK(D434),ISBLANK(F434)),
     IF(OR(B434="ALI",B434="AIE"),"L",IF(ISBLANK(B434),"","A")),
     IF(B434="EE",IF(F434&gt;=3,IF(D434&gt;=5,"H","A"),
     IF(F434&gt;=2,IF(D434&gt;=16,"H",IF(D434&lt;=4,"L","A")),IF(D434&lt;=15,"L","A"))),
     IF(OR(B434="SE",B434="CE"),IF(F434&gt;=4,IF(D434&gt;=6,"H","A"),IF(F434&gt;=2,IF(D434&gt;=20,"H",IF(D434&lt;=5,"L","A")),IF(D434&lt;=19,"L","A"))),
     IF(OR(B434="ALI",B434="AIE"),IF(F434&gt;=6,IF(D434&gt;=20,"H","A"),IF(F434&gt;=2,IF(D434&gt;=51,"H",IF(D434&lt;=19,"L","A")),IF(D434&lt;=50,"L","A"))))))),
IF('Dados da OS'!$D$8=Parâmetros!$B$6,"Indicativa",
IF('Dados da OS'!$D$8=Parâmetros!$B$5,"PFS","")))</f>
        <v/>
      </c>
      <c r="M434" s="57">
        <f>IFERROR(VLOOKUP(C434,'Fatores de Impacto e INMs'!$A$3:$D$32,3,0),1)</f>
        <v>1</v>
      </c>
      <c r="N434" s="57">
        <f>IFERROR(VLOOKUP(C434,'Fatores de Impacto e INMs'!$A$3:$E$32,5,0),1)</f>
        <v>1</v>
      </c>
      <c r="O434" s="63" t="str">
        <f xml:space="preserve">
IF(OR('Dados da OS'!$D$8="Selecione o tipo da contagem",ISBLANK('Dados da OS'!$D$8),B434="INM",B434="N/A",ISBLANK(B434),ISBLANK(C434),N434="VF"),"-",
   IF('Dados da OS'!$D$8=Parâmetros!$B$3,
      IF(OR(ISBLANK(D434),ISBLANK(F434)),"-",
         IF(L434="L","Baixa",IF(L434="A","Média",IF(L434="H","Alta","-")))),
      IF('Dados da OS'!$D$8=Parâmetros!$B$4,
         IF(OR(B434="ALI",B434="AIE"),"Baixa",IF(OR(B434="EE",B434="SE",B434="CE"),"Média","-")),
         IF(OR('Dados da OS'!$D$8=Parâmetros!$B$5,'Dados da OS'!$D$8=Parâmetros!$B$6),"-"))))</f>
        <v>-</v>
      </c>
      <c r="P434" s="59" t="str">
        <f xml:space="preserve">
IF(OR(ISBLANK(B434),ISBLANK(C434),B434="N/A",ISBLANK('Dados da OS'!$D$8)),"",
   IF(OR('Dados da OS'!$D$8=Parâmetros!$B$3,'Dados da OS'!$D$8=Parâmetros!$B$4),
      IF(OR(AND(B434="INM",N434&lt;&gt;"VF"),AND(N434="VF",B434&lt;&gt;"INM")),"",
        IF(AND(B434="INM",N434="VF"),IF(ISBLANK(H434),"",M434*H434),
        IF('Dados da OS'!$D$8=Parâmetros!$B$4,
           IF(OR(B434="CE",B434="EE"),4,IF(B434="SE",5,IF(B434="ALI",7,IF(B434="AIE",5,"")))),
        IF('Dados da OS'!$D$8=Parâmetros!$B$3,
           IF(OR(ISBLANK(D434),ISBLANK(F434)),"",
              IF(B434="ALI",IF(L434="L",7,IF(L434="A",10,15)),
                 IF(B434="AIE",IF(L434="L",5,IF(L434="A",7,10)),
                    IF(B434="SE",IF(L434="L",4,IF(L434="A",5,7)),
                       IF(OR(B434="EE",B434="CE"),IF(L434="L",3,IF(L434="A",4,6)),""))))))))),
   IF('Dados da OS'!$D$8=Parâmetros!$B$5,
      IF(OR(AND(B434="INM",N434&lt;&gt;"VF"),AND(N434="VF",B434&lt;&gt;"INM")),"",
         IF(B434="INM",IF(N434="VF",M434*H434,""),
            IF(B434="PE",4.6,
            IF(B434="AL",7,"")))),
   IF('Dados da OS'!$D$8=Parâmetros!$B$6,
      IF(B434="ALI",35,IF(B434="AIE",15,"")),""))
    )
)</f>
        <v/>
      </c>
      <c r="Q434" s="60" t="str">
        <f t="shared" si="43"/>
        <v/>
      </c>
      <c r="R434" s="61"/>
      <c r="S434" s="62"/>
      <c r="T434" s="80" t="s">
        <v>21</v>
      </c>
      <c r="U434" s="81"/>
      <c r="V434" s="99"/>
      <c r="W434" s="55"/>
      <c r="X434" s="55"/>
      <c r="Y434" s="56"/>
      <c r="Z434" s="55"/>
      <c r="AA434" s="56"/>
      <c r="AB434" s="55"/>
      <c r="AC434" s="57" t="str">
        <f t="shared" si="44"/>
        <v/>
      </c>
      <c r="AD434" s="57" t="str">
        <f t="shared" si="45"/>
        <v/>
      </c>
      <c r="AE434" s="57" t="str">
        <f xml:space="preserve">
IF(OR('Dados da OS'!$D$8=Parâmetros!$B$3,'Dados da OS'!$D$8=Parâmetros!$B$4),
  IF(OR(ISBLANK(X434),ISBLANK(Z434)),
     IF(OR(V434="ALI",V434="AIE"),"L",IF(ISBLANK(V434),"","A")),
     IF(V434="EE",IF(Z434&gt;=3,IF(X434&gt;=5,"H","A"),
     IF(Z434&gt;=2,IF(X434&gt;=16,"H",IF(X434&lt;=4,"L","A")),IF(X434&lt;=15,"L","A"))),
     IF(OR(V434="SE",V434="CE"),IF(Z434&gt;=4,IF(X434&gt;=6,"H","A"),IF(Z434&gt;=2,IF(X434&gt;=20,"H",IF(X434&lt;=5,"L","A")),IF(X434&lt;=19,"L","A"))),
     IF(OR(V434="ALI",V434="AIE"),IF(Z434&gt;=6,IF(X434&gt;=20,"H","A"),IF(Z434&gt;=2,IF(X434&gt;=51,"H",IF(X434&lt;=19,"L","A")),IF(X434&lt;=50,"L","A"))))))),
IF('Dados da OS'!$D$8=Parâmetros!$B$6,"Indicativa",
IF('Dados da OS'!$D$8=Parâmetros!$B$5,"PFS","")))</f>
        <v/>
      </c>
      <c r="AF434" s="57">
        <f>IFERROR(VLOOKUP(W434,'Fatores de Impacto e INMs'!$A$3:$D$32,3,0),1)</f>
        <v>1</v>
      </c>
      <c r="AG434" s="57">
        <f>IFERROR(VLOOKUP(W434,'Fatores de Impacto e INMs'!$A$3:$E$32,5,0),1)</f>
        <v>1</v>
      </c>
      <c r="AH434" s="82" t="str">
        <f xml:space="preserve">
IF(OR('Dados da OS'!$D$8="Selecione o tipo da contagem",ISBLANK('Dados da OS'!$D$8),V434="INM",V434="N/A",ISBLANK(V434),ISBLANK(W434),AG434="VF"),"-",
   IF('Dados da OS'!$D$8=Parâmetros!$B$3,
      IF(OR(ISBLANK(X434),ISBLANK(Z434)),"-",
         IF(AE434="L","Baixa",IF(AE434="A","Média",IF(AE434="H","Alta","-")))),
      IF('Dados da OS'!$D$8=Parâmetros!$B$4,
         IF(OR(V434="ALI",V434="AIE"),"Baixa",IF(OR(V434="EE",V434="SE",V434="CE"),"Média","-")),
         IF(OR('Dados da OS'!$D$8=Parâmetros!$B$5,'Dados da OS'!$D$8=Parâmetros!$B$6),"-"))))</f>
        <v>-</v>
      </c>
      <c r="AI434" s="83" t="str">
        <f xml:space="preserve">
IF(OR(ISBLANK(V434),ISBLANK(U434),ISBLANK(W434),V434="N/A",ISBLANK('Dados da OS'!$D$8)),"",
   IF(OR('Dados da OS'!$D$8=Parâmetros!$B$3,'Dados da OS'!$D$8=Parâmetros!$B$4),
      IF(OR(AND(V434="INM",AG434&lt;&gt;"VF"),AND(AG434="VF",V434&lt;&gt;"INM")),"",
        IF(AND(V434="INM",AG434="VF"),IF(ISBLANK(AB434),"",AF434*AB434),
        IF('Dados da OS'!$D$8=Parâmetros!$B$4,
           IF(OR(V434="CE",V434="EE"),4,IF(V434="SE",5,IF(V434="ALI",7,IF(V434="AIE",5,"")))),
        IF('Dados da OS'!$D$8=Parâmetros!$B$3,
           IF(OR(ISBLANK(X434),ISBLANK(Z434)),"",
              IF(V434="ALI",IF(AE434="L",7,IF(AE434="A",10,15)),
                 IF(V434="AIE",IF(AE434="L",5,IF(AE434="A",7,10)),
                    IF(V434="SE",IF(AE434="L",4,IF(AE434="A",5,7)),
                       IF(OR(V434="EE",V434="CE"),IF(AE434="L",3,IF(AE434="A",4,6)),""))))))))),
   IF('Dados da OS'!$D$8=Parâmetros!$B$5,
      IF(OR(AND(V434="INM",AG434&lt;&gt;"VF"),AND(AG434="VF",V434&lt;&gt;"INM")),"",
         IF(V434="INM",IF(AG434="VF",AF434*AB434,""),
            IF(V434="PE",4.6,
            IF(V434="AL",7,"")))),
   IF('Dados da OS'!$D$8=Parâmetros!$B$6,
      IF(V434="ALI",35,IF(V434="AIE",15,"")),""))
    )
)</f>
        <v/>
      </c>
      <c r="AJ434" s="82" t="str">
        <f t="shared" si="46"/>
        <v/>
      </c>
      <c r="AK434" s="84"/>
      <c r="AL434" s="85" t="s">
        <v>21</v>
      </c>
      <c r="AM434" s="86"/>
      <c r="AN434" s="85"/>
      <c r="AO434" s="87"/>
      <c r="AP434" s="85"/>
      <c r="AQ434" s="86"/>
      <c r="AR434" s="85"/>
    </row>
    <row r="435" spans="1:44" ht="15.75" customHeight="1">
      <c r="A435" s="54"/>
      <c r="B435" s="100"/>
      <c r="C435" s="55"/>
      <c r="D435" s="55"/>
      <c r="E435" s="56"/>
      <c r="F435" s="55"/>
      <c r="G435" s="56"/>
      <c r="H435" s="55"/>
      <c r="I435" s="64"/>
      <c r="J435" s="57" t="str">
        <f t="shared" si="41"/>
        <v/>
      </c>
      <c r="K435" s="57" t="str">
        <f t="shared" si="42"/>
        <v/>
      </c>
      <c r="L435" s="57" t="str">
        <f xml:space="preserve">
IF(OR('Dados da OS'!$D$8=Parâmetros!$B$3,'Dados da OS'!$D$8=Parâmetros!$B$4),
  IF(OR(ISBLANK(D435),ISBLANK(F435)),
     IF(OR(B435="ALI",B435="AIE"),"L",IF(ISBLANK(B435),"","A")),
     IF(B435="EE",IF(F435&gt;=3,IF(D435&gt;=5,"H","A"),
     IF(F435&gt;=2,IF(D435&gt;=16,"H",IF(D435&lt;=4,"L","A")),IF(D435&lt;=15,"L","A"))),
     IF(OR(B435="SE",B435="CE"),IF(F435&gt;=4,IF(D435&gt;=6,"H","A"),IF(F435&gt;=2,IF(D435&gt;=20,"H",IF(D435&lt;=5,"L","A")),IF(D435&lt;=19,"L","A"))),
     IF(OR(B435="ALI",B435="AIE"),IF(F435&gt;=6,IF(D435&gt;=20,"H","A"),IF(F435&gt;=2,IF(D435&gt;=51,"H",IF(D435&lt;=19,"L","A")),IF(D435&lt;=50,"L","A"))))))),
IF('Dados da OS'!$D$8=Parâmetros!$B$6,"Indicativa",
IF('Dados da OS'!$D$8=Parâmetros!$B$5,"PFS","")))</f>
        <v/>
      </c>
      <c r="M435" s="57">
        <f>IFERROR(VLOOKUP(C435,'Fatores de Impacto e INMs'!$A$3:$D$32,3,0),1)</f>
        <v>1</v>
      </c>
      <c r="N435" s="57">
        <f>IFERROR(VLOOKUP(C435,'Fatores de Impacto e INMs'!$A$3:$E$32,5,0),1)</f>
        <v>1</v>
      </c>
      <c r="O435" s="63" t="str">
        <f xml:space="preserve">
IF(OR('Dados da OS'!$D$8="Selecione o tipo da contagem",ISBLANK('Dados da OS'!$D$8),B435="INM",B435="N/A",ISBLANK(B435),ISBLANK(C435),N435="VF"),"-",
   IF('Dados da OS'!$D$8=Parâmetros!$B$3,
      IF(OR(ISBLANK(D435),ISBLANK(F435)),"-",
         IF(L435="L","Baixa",IF(L435="A","Média",IF(L435="H","Alta","-")))),
      IF('Dados da OS'!$D$8=Parâmetros!$B$4,
         IF(OR(B435="ALI",B435="AIE"),"Baixa",IF(OR(B435="EE",B435="SE",B435="CE"),"Média","-")),
         IF(OR('Dados da OS'!$D$8=Parâmetros!$B$5,'Dados da OS'!$D$8=Parâmetros!$B$6),"-"))))</f>
        <v>-</v>
      </c>
      <c r="P435" s="59" t="str">
        <f xml:space="preserve">
IF(OR(ISBLANK(B435),ISBLANK(C435),B435="N/A",ISBLANK('Dados da OS'!$D$8)),"",
   IF(OR('Dados da OS'!$D$8=Parâmetros!$B$3,'Dados da OS'!$D$8=Parâmetros!$B$4),
      IF(OR(AND(B435="INM",N435&lt;&gt;"VF"),AND(N435="VF",B435&lt;&gt;"INM")),"",
        IF(AND(B435="INM",N435="VF"),IF(ISBLANK(H435),"",M435*H435),
        IF('Dados da OS'!$D$8=Parâmetros!$B$4,
           IF(OR(B435="CE",B435="EE"),4,IF(B435="SE",5,IF(B435="ALI",7,IF(B435="AIE",5,"")))),
        IF('Dados da OS'!$D$8=Parâmetros!$B$3,
           IF(OR(ISBLANK(D435),ISBLANK(F435)),"",
              IF(B435="ALI",IF(L435="L",7,IF(L435="A",10,15)),
                 IF(B435="AIE",IF(L435="L",5,IF(L435="A",7,10)),
                    IF(B435="SE",IF(L435="L",4,IF(L435="A",5,7)),
                       IF(OR(B435="EE",B435="CE"),IF(L435="L",3,IF(L435="A",4,6)),""))))))))),
   IF('Dados da OS'!$D$8=Parâmetros!$B$5,
      IF(OR(AND(B435="INM",N435&lt;&gt;"VF"),AND(N435="VF",B435&lt;&gt;"INM")),"",
         IF(B435="INM",IF(N435="VF",M435*H435,""),
            IF(B435="PE",4.6,
            IF(B435="AL",7,"")))),
   IF('Dados da OS'!$D$8=Parâmetros!$B$6,
      IF(B435="ALI",35,IF(B435="AIE",15,"")),""))
    )
)</f>
        <v/>
      </c>
      <c r="Q435" s="60" t="str">
        <f t="shared" si="43"/>
        <v/>
      </c>
      <c r="R435" s="61"/>
      <c r="S435" s="62"/>
      <c r="T435" s="80" t="s">
        <v>21</v>
      </c>
      <c r="U435" s="81"/>
      <c r="V435" s="99"/>
      <c r="W435" s="55"/>
      <c r="X435" s="55"/>
      <c r="Y435" s="56"/>
      <c r="Z435" s="55"/>
      <c r="AA435" s="56"/>
      <c r="AB435" s="55"/>
      <c r="AC435" s="57" t="str">
        <f t="shared" si="44"/>
        <v/>
      </c>
      <c r="AD435" s="57" t="str">
        <f t="shared" si="45"/>
        <v/>
      </c>
      <c r="AE435" s="57" t="str">
        <f xml:space="preserve">
IF(OR('Dados da OS'!$D$8=Parâmetros!$B$3,'Dados da OS'!$D$8=Parâmetros!$B$4),
  IF(OR(ISBLANK(X435),ISBLANK(Z435)),
     IF(OR(V435="ALI",V435="AIE"),"L",IF(ISBLANK(V435),"","A")),
     IF(V435="EE",IF(Z435&gt;=3,IF(X435&gt;=5,"H","A"),
     IF(Z435&gt;=2,IF(X435&gt;=16,"H",IF(X435&lt;=4,"L","A")),IF(X435&lt;=15,"L","A"))),
     IF(OR(V435="SE",V435="CE"),IF(Z435&gt;=4,IF(X435&gt;=6,"H","A"),IF(Z435&gt;=2,IF(X435&gt;=20,"H",IF(X435&lt;=5,"L","A")),IF(X435&lt;=19,"L","A"))),
     IF(OR(V435="ALI",V435="AIE"),IF(Z435&gt;=6,IF(X435&gt;=20,"H","A"),IF(Z435&gt;=2,IF(X435&gt;=51,"H",IF(X435&lt;=19,"L","A")),IF(X435&lt;=50,"L","A"))))))),
IF('Dados da OS'!$D$8=Parâmetros!$B$6,"Indicativa",
IF('Dados da OS'!$D$8=Parâmetros!$B$5,"PFS","")))</f>
        <v/>
      </c>
      <c r="AF435" s="57">
        <f>IFERROR(VLOOKUP(W435,'Fatores de Impacto e INMs'!$A$3:$D$32,3,0),1)</f>
        <v>1</v>
      </c>
      <c r="AG435" s="57">
        <f>IFERROR(VLOOKUP(W435,'Fatores de Impacto e INMs'!$A$3:$E$32,5,0),1)</f>
        <v>1</v>
      </c>
      <c r="AH435" s="82" t="str">
        <f xml:space="preserve">
IF(OR('Dados da OS'!$D$8="Selecione o tipo da contagem",ISBLANK('Dados da OS'!$D$8),V435="INM",V435="N/A",ISBLANK(V435),ISBLANK(W435),AG435="VF"),"-",
   IF('Dados da OS'!$D$8=Parâmetros!$B$3,
      IF(OR(ISBLANK(X435),ISBLANK(Z435)),"-",
         IF(AE435="L","Baixa",IF(AE435="A","Média",IF(AE435="H","Alta","-")))),
      IF('Dados da OS'!$D$8=Parâmetros!$B$4,
         IF(OR(V435="ALI",V435="AIE"),"Baixa",IF(OR(V435="EE",V435="SE",V435="CE"),"Média","-")),
         IF(OR('Dados da OS'!$D$8=Parâmetros!$B$5,'Dados da OS'!$D$8=Parâmetros!$B$6),"-"))))</f>
        <v>-</v>
      </c>
      <c r="AI435" s="83" t="str">
        <f xml:space="preserve">
IF(OR(ISBLANK(V435),ISBLANK(U435),ISBLANK(W435),V435="N/A",ISBLANK('Dados da OS'!$D$8)),"",
   IF(OR('Dados da OS'!$D$8=Parâmetros!$B$3,'Dados da OS'!$D$8=Parâmetros!$B$4),
      IF(OR(AND(V435="INM",AG435&lt;&gt;"VF"),AND(AG435="VF",V435&lt;&gt;"INM")),"",
        IF(AND(V435="INM",AG435="VF"),IF(ISBLANK(AB435),"",AF435*AB435),
        IF('Dados da OS'!$D$8=Parâmetros!$B$4,
           IF(OR(V435="CE",V435="EE"),4,IF(V435="SE",5,IF(V435="ALI",7,IF(V435="AIE",5,"")))),
        IF('Dados da OS'!$D$8=Parâmetros!$B$3,
           IF(OR(ISBLANK(X435),ISBLANK(Z435)),"",
              IF(V435="ALI",IF(AE435="L",7,IF(AE435="A",10,15)),
                 IF(V435="AIE",IF(AE435="L",5,IF(AE435="A",7,10)),
                    IF(V435="SE",IF(AE435="L",4,IF(AE435="A",5,7)),
                       IF(OR(V435="EE",V435="CE"),IF(AE435="L",3,IF(AE435="A",4,6)),""))))))))),
   IF('Dados da OS'!$D$8=Parâmetros!$B$5,
      IF(OR(AND(V435="INM",AG435&lt;&gt;"VF"),AND(AG435="VF",V435&lt;&gt;"INM")),"",
         IF(V435="INM",IF(AG435="VF",AF435*AB435,""),
            IF(V435="PE",4.6,
            IF(V435="AL",7,"")))),
   IF('Dados da OS'!$D$8=Parâmetros!$B$6,
      IF(V435="ALI",35,IF(V435="AIE",15,"")),""))
    )
)</f>
        <v/>
      </c>
      <c r="AJ435" s="82" t="str">
        <f t="shared" si="46"/>
        <v/>
      </c>
      <c r="AK435" s="84"/>
      <c r="AL435" s="85" t="s">
        <v>21</v>
      </c>
      <c r="AM435" s="86"/>
      <c r="AN435" s="85"/>
      <c r="AO435" s="87"/>
      <c r="AP435" s="85"/>
      <c r="AQ435" s="86"/>
      <c r="AR435" s="85"/>
    </row>
    <row r="436" spans="1:44" ht="15.75" customHeight="1">
      <c r="A436" s="54"/>
      <c r="B436" s="100"/>
      <c r="C436" s="55"/>
      <c r="D436" s="55"/>
      <c r="E436" s="56"/>
      <c r="F436" s="55"/>
      <c r="G436" s="56"/>
      <c r="H436" s="55"/>
      <c r="I436" s="64"/>
      <c r="J436" s="57" t="str">
        <f t="shared" ref="J436:J455" si="47">CONCATENATE(B436,L436)</f>
        <v/>
      </c>
      <c r="K436" s="57" t="str">
        <f t="shared" ref="K436:K455" si="48">CONCATENATE(B436,C436,L436,Q436)</f>
        <v/>
      </c>
      <c r="L436" s="57" t="str">
        <f xml:space="preserve">
IF(OR('Dados da OS'!$D$8=Parâmetros!$B$3,'Dados da OS'!$D$8=Parâmetros!$B$4),
  IF(OR(ISBLANK(D436),ISBLANK(F436)),
     IF(OR(B436="ALI",B436="AIE"),"L",IF(ISBLANK(B436),"","A")),
     IF(B436="EE",IF(F436&gt;=3,IF(D436&gt;=5,"H","A"),
     IF(F436&gt;=2,IF(D436&gt;=16,"H",IF(D436&lt;=4,"L","A")),IF(D436&lt;=15,"L","A"))),
     IF(OR(B436="SE",B436="CE"),IF(F436&gt;=4,IF(D436&gt;=6,"H","A"),IF(F436&gt;=2,IF(D436&gt;=20,"H",IF(D436&lt;=5,"L","A")),IF(D436&lt;=19,"L","A"))),
     IF(OR(B436="ALI",B436="AIE"),IF(F436&gt;=6,IF(D436&gt;=20,"H","A"),IF(F436&gt;=2,IF(D436&gt;=51,"H",IF(D436&lt;=19,"L","A")),IF(D436&lt;=50,"L","A"))))))),
IF('Dados da OS'!$D$8=Parâmetros!$B$6,"Indicativa",
IF('Dados da OS'!$D$8=Parâmetros!$B$5,"PFS","")))</f>
        <v/>
      </c>
      <c r="M436" s="57">
        <f>IFERROR(VLOOKUP(C436,'Fatores de Impacto e INMs'!$A$3:$D$32,3,0),1)</f>
        <v>1</v>
      </c>
      <c r="N436" s="57">
        <f>IFERROR(VLOOKUP(C436,'Fatores de Impacto e INMs'!$A$3:$E$32,5,0),1)</f>
        <v>1</v>
      </c>
      <c r="O436" s="63" t="str">
        <f xml:space="preserve">
IF(OR('Dados da OS'!$D$8="Selecione o tipo da contagem",ISBLANK('Dados da OS'!$D$8),B436="INM",B436="N/A",ISBLANK(B436),ISBLANK(C436),N436="VF"),"-",
   IF('Dados da OS'!$D$8=Parâmetros!$B$3,
      IF(OR(ISBLANK(D436),ISBLANK(F436)),"-",
         IF(L436="L","Baixa",IF(L436="A","Média",IF(L436="H","Alta","-")))),
      IF('Dados da OS'!$D$8=Parâmetros!$B$4,
         IF(OR(B436="ALI",B436="AIE"),"Baixa",IF(OR(B436="EE",B436="SE",B436="CE"),"Média","-")),
         IF(OR('Dados da OS'!$D$8=Parâmetros!$B$5,'Dados da OS'!$D$8=Parâmetros!$B$6),"-"))))</f>
        <v>-</v>
      </c>
      <c r="P436" s="59" t="str">
        <f xml:space="preserve">
IF(OR(ISBLANK(B436),ISBLANK(C436),B436="N/A",ISBLANK('Dados da OS'!$D$8)),"",
   IF(OR('Dados da OS'!$D$8=Parâmetros!$B$3,'Dados da OS'!$D$8=Parâmetros!$B$4),
      IF(OR(AND(B436="INM",N436&lt;&gt;"VF"),AND(N436="VF",B436&lt;&gt;"INM")),"",
        IF(AND(B436="INM",N436="VF"),IF(ISBLANK(H436),"",M436*H436),
        IF('Dados da OS'!$D$8=Parâmetros!$B$4,
           IF(OR(B436="CE",B436="EE"),4,IF(B436="SE",5,IF(B436="ALI",7,IF(B436="AIE",5,"")))),
        IF('Dados da OS'!$D$8=Parâmetros!$B$3,
           IF(OR(ISBLANK(D436),ISBLANK(F436)),"",
              IF(B436="ALI",IF(L436="L",7,IF(L436="A",10,15)),
                 IF(B436="AIE",IF(L436="L",5,IF(L436="A",7,10)),
                    IF(B436="SE",IF(L436="L",4,IF(L436="A",5,7)),
                       IF(OR(B436="EE",B436="CE"),IF(L436="L",3,IF(L436="A",4,6)),""))))))))),
   IF('Dados da OS'!$D$8=Parâmetros!$B$5,
      IF(OR(AND(B436="INM",N436&lt;&gt;"VF"),AND(N436="VF",B436&lt;&gt;"INM")),"",
         IF(B436="INM",IF(N436="VF",M436*H436,""),
            IF(B436="PE",4.6,
            IF(B436="AL",7,"")))),
   IF('Dados da OS'!$D$8=Parâmetros!$B$6,
      IF(B436="ALI",35,IF(B436="AIE",15,"")),""))
    )
)</f>
        <v/>
      </c>
      <c r="Q436" s="60" t="str">
        <f t="shared" si="43"/>
        <v/>
      </c>
      <c r="R436" s="61"/>
      <c r="S436" s="62"/>
      <c r="T436" s="80" t="s">
        <v>21</v>
      </c>
      <c r="U436" s="81"/>
      <c r="V436" s="99"/>
      <c r="W436" s="55"/>
      <c r="X436" s="55"/>
      <c r="Y436" s="56"/>
      <c r="Z436" s="55"/>
      <c r="AA436" s="56"/>
      <c r="AB436" s="55"/>
      <c r="AC436" s="57" t="str">
        <f t="shared" si="44"/>
        <v/>
      </c>
      <c r="AD436" s="57" t="str">
        <f t="shared" si="45"/>
        <v/>
      </c>
      <c r="AE436" s="57" t="str">
        <f xml:space="preserve">
IF(OR('Dados da OS'!$D$8=Parâmetros!$B$3,'Dados da OS'!$D$8=Parâmetros!$B$4),
  IF(OR(ISBLANK(X436),ISBLANK(Z436)),
     IF(OR(V436="ALI",V436="AIE"),"L",IF(ISBLANK(V436),"","A")),
     IF(V436="EE",IF(Z436&gt;=3,IF(X436&gt;=5,"H","A"),
     IF(Z436&gt;=2,IF(X436&gt;=16,"H",IF(X436&lt;=4,"L","A")),IF(X436&lt;=15,"L","A"))),
     IF(OR(V436="SE",V436="CE"),IF(Z436&gt;=4,IF(X436&gt;=6,"H","A"),IF(Z436&gt;=2,IF(X436&gt;=20,"H",IF(X436&lt;=5,"L","A")),IF(X436&lt;=19,"L","A"))),
     IF(OR(V436="ALI",V436="AIE"),IF(Z436&gt;=6,IF(X436&gt;=20,"H","A"),IF(Z436&gt;=2,IF(X436&gt;=51,"H",IF(X436&lt;=19,"L","A")),IF(X436&lt;=50,"L","A"))))))),
IF('Dados da OS'!$D$8=Parâmetros!$B$6,"Indicativa",
IF('Dados da OS'!$D$8=Parâmetros!$B$5,"PFS","")))</f>
        <v/>
      </c>
      <c r="AF436" s="57">
        <f>IFERROR(VLOOKUP(W436,'Fatores de Impacto e INMs'!$A$3:$D$32,3,0),1)</f>
        <v>1</v>
      </c>
      <c r="AG436" s="57">
        <f>IFERROR(VLOOKUP(W436,'Fatores de Impacto e INMs'!$A$3:$E$32,5,0),1)</f>
        <v>1</v>
      </c>
      <c r="AH436" s="82" t="str">
        <f xml:space="preserve">
IF(OR('Dados da OS'!$D$8="Selecione o tipo da contagem",ISBLANK('Dados da OS'!$D$8),V436="INM",V436="N/A",ISBLANK(V436),ISBLANK(W436),AG436="VF"),"-",
   IF('Dados da OS'!$D$8=Parâmetros!$B$3,
      IF(OR(ISBLANK(X436),ISBLANK(Z436)),"-",
         IF(AE436="L","Baixa",IF(AE436="A","Média",IF(AE436="H","Alta","-")))),
      IF('Dados da OS'!$D$8=Parâmetros!$B$4,
         IF(OR(V436="ALI",V436="AIE"),"Baixa",IF(OR(V436="EE",V436="SE",V436="CE"),"Média","-")),
         IF(OR('Dados da OS'!$D$8=Parâmetros!$B$5,'Dados da OS'!$D$8=Parâmetros!$B$6),"-"))))</f>
        <v>-</v>
      </c>
      <c r="AI436" s="83" t="str">
        <f xml:space="preserve">
IF(OR(ISBLANK(V436),ISBLANK(U436),ISBLANK(W436),V436="N/A",ISBLANK('Dados da OS'!$D$8)),"",
   IF(OR('Dados da OS'!$D$8=Parâmetros!$B$3,'Dados da OS'!$D$8=Parâmetros!$B$4),
      IF(OR(AND(V436="INM",AG436&lt;&gt;"VF"),AND(AG436="VF",V436&lt;&gt;"INM")),"",
        IF(AND(V436="INM",AG436="VF"),IF(ISBLANK(AB436),"",AF436*AB436),
        IF('Dados da OS'!$D$8=Parâmetros!$B$4,
           IF(OR(V436="CE",V436="EE"),4,IF(V436="SE",5,IF(V436="ALI",7,IF(V436="AIE",5,"")))),
        IF('Dados da OS'!$D$8=Parâmetros!$B$3,
           IF(OR(ISBLANK(X436),ISBLANK(Z436)),"",
              IF(V436="ALI",IF(AE436="L",7,IF(AE436="A",10,15)),
                 IF(V436="AIE",IF(AE436="L",5,IF(AE436="A",7,10)),
                    IF(V436="SE",IF(AE436="L",4,IF(AE436="A",5,7)),
                       IF(OR(V436="EE",V436="CE"),IF(AE436="L",3,IF(AE436="A",4,6)),""))))))))),
   IF('Dados da OS'!$D$8=Parâmetros!$B$5,
      IF(OR(AND(V436="INM",AG436&lt;&gt;"VF"),AND(AG436="VF",V436&lt;&gt;"INM")),"",
         IF(V436="INM",IF(AG436="VF",AF436*AB436,""),
            IF(V436="PE",4.6,
            IF(V436="AL",7,"")))),
   IF('Dados da OS'!$D$8=Parâmetros!$B$6,
      IF(V436="ALI",35,IF(V436="AIE",15,"")),""))
    )
)</f>
        <v/>
      </c>
      <c r="AJ436" s="82" t="str">
        <f t="shared" si="46"/>
        <v/>
      </c>
      <c r="AK436" s="84"/>
      <c r="AL436" s="85" t="s">
        <v>21</v>
      </c>
      <c r="AM436" s="86"/>
      <c r="AN436" s="85"/>
      <c r="AO436" s="87"/>
      <c r="AP436" s="85"/>
      <c r="AQ436" s="86"/>
      <c r="AR436" s="85"/>
    </row>
    <row r="437" spans="1:44" ht="15.75" customHeight="1">
      <c r="A437" s="54"/>
      <c r="B437" s="100"/>
      <c r="C437" s="55"/>
      <c r="D437" s="55"/>
      <c r="E437" s="56"/>
      <c r="F437" s="55"/>
      <c r="G437" s="56"/>
      <c r="H437" s="55"/>
      <c r="I437" s="64"/>
      <c r="J437" s="57" t="str">
        <f t="shared" si="47"/>
        <v/>
      </c>
      <c r="K437" s="57" t="str">
        <f t="shared" si="48"/>
        <v/>
      </c>
      <c r="L437" s="57" t="str">
        <f xml:space="preserve">
IF(OR('Dados da OS'!$D$8=Parâmetros!$B$3,'Dados da OS'!$D$8=Parâmetros!$B$4),
  IF(OR(ISBLANK(D437),ISBLANK(F437)),
     IF(OR(B437="ALI",B437="AIE"),"L",IF(ISBLANK(B437),"","A")),
     IF(B437="EE",IF(F437&gt;=3,IF(D437&gt;=5,"H","A"),
     IF(F437&gt;=2,IF(D437&gt;=16,"H",IF(D437&lt;=4,"L","A")),IF(D437&lt;=15,"L","A"))),
     IF(OR(B437="SE",B437="CE"),IF(F437&gt;=4,IF(D437&gt;=6,"H","A"),IF(F437&gt;=2,IF(D437&gt;=20,"H",IF(D437&lt;=5,"L","A")),IF(D437&lt;=19,"L","A"))),
     IF(OR(B437="ALI",B437="AIE"),IF(F437&gt;=6,IF(D437&gt;=20,"H","A"),IF(F437&gt;=2,IF(D437&gt;=51,"H",IF(D437&lt;=19,"L","A")),IF(D437&lt;=50,"L","A"))))))),
IF('Dados da OS'!$D$8=Parâmetros!$B$6,"Indicativa",
IF('Dados da OS'!$D$8=Parâmetros!$B$5,"PFS","")))</f>
        <v/>
      </c>
      <c r="M437" s="57">
        <f>IFERROR(VLOOKUP(C437,'Fatores de Impacto e INMs'!$A$3:$D$32,3,0),1)</f>
        <v>1</v>
      </c>
      <c r="N437" s="57">
        <f>IFERROR(VLOOKUP(C437,'Fatores de Impacto e INMs'!$A$3:$E$32,5,0),1)</f>
        <v>1</v>
      </c>
      <c r="O437" s="63" t="str">
        <f xml:space="preserve">
IF(OR('Dados da OS'!$D$8="Selecione o tipo da contagem",ISBLANK('Dados da OS'!$D$8),B437="INM",B437="N/A",ISBLANK(B437),ISBLANK(C437),N437="VF"),"-",
   IF('Dados da OS'!$D$8=Parâmetros!$B$3,
      IF(OR(ISBLANK(D437),ISBLANK(F437)),"-",
         IF(L437="L","Baixa",IF(L437="A","Média",IF(L437="H","Alta","-")))),
      IF('Dados da OS'!$D$8=Parâmetros!$B$4,
         IF(OR(B437="ALI",B437="AIE"),"Baixa",IF(OR(B437="EE",B437="SE",B437="CE"),"Média","-")),
         IF(OR('Dados da OS'!$D$8=Parâmetros!$B$5,'Dados da OS'!$D$8=Parâmetros!$B$6),"-"))))</f>
        <v>-</v>
      </c>
      <c r="P437" s="59" t="str">
        <f xml:space="preserve">
IF(OR(ISBLANK(B437),ISBLANK(C437),B437="N/A",ISBLANK('Dados da OS'!$D$8)),"",
   IF(OR('Dados da OS'!$D$8=Parâmetros!$B$3,'Dados da OS'!$D$8=Parâmetros!$B$4),
      IF(OR(AND(B437="INM",N437&lt;&gt;"VF"),AND(N437="VF",B437&lt;&gt;"INM")),"",
        IF(AND(B437="INM",N437="VF"),IF(ISBLANK(H437),"",M437*H437),
        IF('Dados da OS'!$D$8=Parâmetros!$B$4,
           IF(OR(B437="CE",B437="EE"),4,IF(B437="SE",5,IF(B437="ALI",7,IF(B437="AIE",5,"")))),
        IF('Dados da OS'!$D$8=Parâmetros!$B$3,
           IF(OR(ISBLANK(D437),ISBLANK(F437)),"",
              IF(B437="ALI",IF(L437="L",7,IF(L437="A",10,15)),
                 IF(B437="AIE",IF(L437="L",5,IF(L437="A",7,10)),
                    IF(B437="SE",IF(L437="L",4,IF(L437="A",5,7)),
                       IF(OR(B437="EE",B437="CE"),IF(L437="L",3,IF(L437="A",4,6)),""))))))))),
   IF('Dados da OS'!$D$8=Parâmetros!$B$5,
      IF(OR(AND(B437="INM",N437&lt;&gt;"VF"),AND(N437="VF",B437&lt;&gt;"INM")),"",
         IF(B437="INM",IF(N437="VF",M437*H437,""),
            IF(B437="PE",4.6,
            IF(B437="AL",7,"")))),
   IF('Dados da OS'!$D$8=Parâmetros!$B$6,
      IF(B437="ALI",35,IF(B437="AIE",15,"")),""))
    )
)</f>
        <v/>
      </c>
      <c r="Q437" s="60" t="str">
        <f t="shared" si="43"/>
        <v/>
      </c>
      <c r="R437" s="61"/>
      <c r="S437" s="62"/>
      <c r="T437" s="80" t="s">
        <v>21</v>
      </c>
      <c r="U437" s="81"/>
      <c r="V437" s="99"/>
      <c r="W437" s="55"/>
      <c r="X437" s="55"/>
      <c r="Y437" s="56"/>
      <c r="Z437" s="55"/>
      <c r="AA437" s="56"/>
      <c r="AB437" s="55"/>
      <c r="AC437" s="57" t="str">
        <f t="shared" si="44"/>
        <v/>
      </c>
      <c r="AD437" s="57" t="str">
        <f t="shared" si="45"/>
        <v/>
      </c>
      <c r="AE437" s="57" t="str">
        <f xml:space="preserve">
IF(OR('Dados da OS'!$D$8=Parâmetros!$B$3,'Dados da OS'!$D$8=Parâmetros!$B$4),
  IF(OR(ISBLANK(X437),ISBLANK(Z437)),
     IF(OR(V437="ALI",V437="AIE"),"L",IF(ISBLANK(V437),"","A")),
     IF(V437="EE",IF(Z437&gt;=3,IF(X437&gt;=5,"H","A"),
     IF(Z437&gt;=2,IF(X437&gt;=16,"H",IF(X437&lt;=4,"L","A")),IF(X437&lt;=15,"L","A"))),
     IF(OR(V437="SE",V437="CE"),IF(Z437&gt;=4,IF(X437&gt;=6,"H","A"),IF(Z437&gt;=2,IF(X437&gt;=20,"H",IF(X437&lt;=5,"L","A")),IF(X437&lt;=19,"L","A"))),
     IF(OR(V437="ALI",V437="AIE"),IF(Z437&gt;=6,IF(X437&gt;=20,"H","A"),IF(Z437&gt;=2,IF(X437&gt;=51,"H",IF(X437&lt;=19,"L","A")),IF(X437&lt;=50,"L","A"))))))),
IF('Dados da OS'!$D$8=Parâmetros!$B$6,"Indicativa",
IF('Dados da OS'!$D$8=Parâmetros!$B$5,"PFS","")))</f>
        <v/>
      </c>
      <c r="AF437" s="57">
        <f>IFERROR(VLOOKUP(W437,'Fatores de Impacto e INMs'!$A$3:$D$32,3,0),1)</f>
        <v>1</v>
      </c>
      <c r="AG437" s="57">
        <f>IFERROR(VLOOKUP(W437,'Fatores de Impacto e INMs'!$A$3:$E$32,5,0),1)</f>
        <v>1</v>
      </c>
      <c r="AH437" s="82" t="str">
        <f xml:space="preserve">
IF(OR('Dados da OS'!$D$8="Selecione o tipo da contagem",ISBLANK('Dados da OS'!$D$8),V437="INM",V437="N/A",ISBLANK(V437),ISBLANK(W437),AG437="VF"),"-",
   IF('Dados da OS'!$D$8=Parâmetros!$B$3,
      IF(OR(ISBLANK(X437),ISBLANK(Z437)),"-",
         IF(AE437="L","Baixa",IF(AE437="A","Média",IF(AE437="H","Alta","-")))),
      IF('Dados da OS'!$D$8=Parâmetros!$B$4,
         IF(OR(V437="ALI",V437="AIE"),"Baixa",IF(OR(V437="EE",V437="SE",V437="CE"),"Média","-")),
         IF(OR('Dados da OS'!$D$8=Parâmetros!$B$5,'Dados da OS'!$D$8=Parâmetros!$B$6),"-"))))</f>
        <v>-</v>
      </c>
      <c r="AI437" s="83" t="str">
        <f xml:space="preserve">
IF(OR(ISBLANK(V437),ISBLANK(U437),ISBLANK(W437),V437="N/A",ISBLANK('Dados da OS'!$D$8)),"",
   IF(OR('Dados da OS'!$D$8=Parâmetros!$B$3,'Dados da OS'!$D$8=Parâmetros!$B$4),
      IF(OR(AND(V437="INM",AG437&lt;&gt;"VF"),AND(AG437="VF",V437&lt;&gt;"INM")),"",
        IF(AND(V437="INM",AG437="VF"),IF(ISBLANK(AB437),"",AF437*AB437),
        IF('Dados da OS'!$D$8=Parâmetros!$B$4,
           IF(OR(V437="CE",V437="EE"),4,IF(V437="SE",5,IF(V437="ALI",7,IF(V437="AIE",5,"")))),
        IF('Dados da OS'!$D$8=Parâmetros!$B$3,
           IF(OR(ISBLANK(X437),ISBLANK(Z437)),"",
              IF(V437="ALI",IF(AE437="L",7,IF(AE437="A",10,15)),
                 IF(V437="AIE",IF(AE437="L",5,IF(AE437="A",7,10)),
                    IF(V437="SE",IF(AE437="L",4,IF(AE437="A",5,7)),
                       IF(OR(V437="EE",V437="CE"),IF(AE437="L",3,IF(AE437="A",4,6)),""))))))))),
   IF('Dados da OS'!$D$8=Parâmetros!$B$5,
      IF(OR(AND(V437="INM",AG437&lt;&gt;"VF"),AND(AG437="VF",V437&lt;&gt;"INM")),"",
         IF(V437="INM",IF(AG437="VF",AF437*AB437,""),
            IF(V437="PE",4.6,
            IF(V437="AL",7,"")))),
   IF('Dados da OS'!$D$8=Parâmetros!$B$6,
      IF(V437="ALI",35,IF(V437="AIE",15,"")),""))
    )
)</f>
        <v/>
      </c>
      <c r="AJ437" s="82" t="str">
        <f t="shared" si="46"/>
        <v/>
      </c>
      <c r="AK437" s="84"/>
      <c r="AL437" s="85" t="s">
        <v>21</v>
      </c>
      <c r="AM437" s="86"/>
      <c r="AN437" s="85"/>
      <c r="AO437" s="87"/>
      <c r="AP437" s="85"/>
      <c r="AQ437" s="86"/>
      <c r="AR437" s="85"/>
    </row>
    <row r="438" spans="1:44" ht="15.75" customHeight="1">
      <c r="A438" s="54"/>
      <c r="B438" s="100"/>
      <c r="C438" s="55"/>
      <c r="D438" s="55"/>
      <c r="E438" s="56"/>
      <c r="F438" s="55"/>
      <c r="G438" s="56"/>
      <c r="H438" s="55"/>
      <c r="I438" s="64"/>
      <c r="J438" s="57" t="str">
        <f t="shared" si="47"/>
        <v/>
      </c>
      <c r="K438" s="57" t="str">
        <f t="shared" si="48"/>
        <v/>
      </c>
      <c r="L438" s="57" t="str">
        <f xml:space="preserve">
IF(OR('Dados da OS'!$D$8=Parâmetros!$B$3,'Dados da OS'!$D$8=Parâmetros!$B$4),
  IF(OR(ISBLANK(D438),ISBLANK(F438)),
     IF(OR(B438="ALI",B438="AIE"),"L",IF(ISBLANK(B438),"","A")),
     IF(B438="EE",IF(F438&gt;=3,IF(D438&gt;=5,"H","A"),
     IF(F438&gt;=2,IF(D438&gt;=16,"H",IF(D438&lt;=4,"L","A")),IF(D438&lt;=15,"L","A"))),
     IF(OR(B438="SE",B438="CE"),IF(F438&gt;=4,IF(D438&gt;=6,"H","A"),IF(F438&gt;=2,IF(D438&gt;=20,"H",IF(D438&lt;=5,"L","A")),IF(D438&lt;=19,"L","A"))),
     IF(OR(B438="ALI",B438="AIE"),IF(F438&gt;=6,IF(D438&gt;=20,"H","A"),IF(F438&gt;=2,IF(D438&gt;=51,"H",IF(D438&lt;=19,"L","A")),IF(D438&lt;=50,"L","A"))))))),
IF('Dados da OS'!$D$8=Parâmetros!$B$6,"Indicativa",
IF('Dados da OS'!$D$8=Parâmetros!$B$5,"PFS","")))</f>
        <v/>
      </c>
      <c r="M438" s="57">
        <f>IFERROR(VLOOKUP(C438,'Fatores de Impacto e INMs'!$A$3:$D$32,3,0),1)</f>
        <v>1</v>
      </c>
      <c r="N438" s="57">
        <f>IFERROR(VLOOKUP(C438,'Fatores de Impacto e INMs'!$A$3:$E$32,5,0),1)</f>
        <v>1</v>
      </c>
      <c r="O438" s="63" t="str">
        <f xml:space="preserve">
IF(OR('Dados da OS'!$D$8="Selecione o tipo da contagem",ISBLANK('Dados da OS'!$D$8),B438="INM",B438="N/A",ISBLANK(B438),ISBLANK(C438),N438="VF"),"-",
   IF('Dados da OS'!$D$8=Parâmetros!$B$3,
      IF(OR(ISBLANK(D438),ISBLANK(F438)),"-",
         IF(L438="L","Baixa",IF(L438="A","Média",IF(L438="H","Alta","-")))),
      IF('Dados da OS'!$D$8=Parâmetros!$B$4,
         IF(OR(B438="ALI",B438="AIE"),"Baixa",IF(OR(B438="EE",B438="SE",B438="CE"),"Média","-")),
         IF(OR('Dados da OS'!$D$8=Parâmetros!$B$5,'Dados da OS'!$D$8=Parâmetros!$B$6),"-"))))</f>
        <v>-</v>
      </c>
      <c r="P438" s="59" t="str">
        <f xml:space="preserve">
IF(OR(ISBLANK(B438),ISBLANK(C438),B438="N/A",ISBLANK('Dados da OS'!$D$8)),"",
   IF(OR('Dados da OS'!$D$8=Parâmetros!$B$3,'Dados da OS'!$D$8=Parâmetros!$B$4),
      IF(OR(AND(B438="INM",N438&lt;&gt;"VF"),AND(N438="VF",B438&lt;&gt;"INM")),"",
        IF(AND(B438="INM",N438="VF"),IF(ISBLANK(H438),"",M438*H438),
        IF('Dados da OS'!$D$8=Parâmetros!$B$4,
           IF(OR(B438="CE",B438="EE"),4,IF(B438="SE",5,IF(B438="ALI",7,IF(B438="AIE",5,"")))),
        IF('Dados da OS'!$D$8=Parâmetros!$B$3,
           IF(OR(ISBLANK(D438),ISBLANK(F438)),"",
              IF(B438="ALI",IF(L438="L",7,IF(L438="A",10,15)),
                 IF(B438="AIE",IF(L438="L",5,IF(L438="A",7,10)),
                    IF(B438="SE",IF(L438="L",4,IF(L438="A",5,7)),
                       IF(OR(B438="EE",B438="CE"),IF(L438="L",3,IF(L438="A",4,6)),""))))))))),
   IF('Dados da OS'!$D$8=Parâmetros!$B$5,
      IF(OR(AND(B438="INM",N438&lt;&gt;"VF"),AND(N438="VF",B438&lt;&gt;"INM")),"",
         IF(B438="INM",IF(N438="VF",M438*H438,""),
            IF(B438="PE",4.6,
            IF(B438="AL",7,"")))),
   IF('Dados da OS'!$D$8=Parâmetros!$B$6,
      IF(B438="ALI",35,IF(B438="AIE",15,"")),""))
    )
)</f>
        <v/>
      </c>
      <c r="Q438" s="60" t="str">
        <f t="shared" si="43"/>
        <v/>
      </c>
      <c r="R438" s="61"/>
      <c r="S438" s="62"/>
      <c r="T438" s="80" t="s">
        <v>21</v>
      </c>
      <c r="U438" s="81"/>
      <c r="V438" s="99"/>
      <c r="W438" s="55"/>
      <c r="X438" s="55"/>
      <c r="Y438" s="56"/>
      <c r="Z438" s="55"/>
      <c r="AA438" s="56"/>
      <c r="AB438" s="55"/>
      <c r="AC438" s="57" t="str">
        <f t="shared" si="44"/>
        <v/>
      </c>
      <c r="AD438" s="57" t="str">
        <f t="shared" si="45"/>
        <v/>
      </c>
      <c r="AE438" s="57" t="str">
        <f xml:space="preserve">
IF(OR('Dados da OS'!$D$8=Parâmetros!$B$3,'Dados da OS'!$D$8=Parâmetros!$B$4),
  IF(OR(ISBLANK(X438),ISBLANK(Z438)),
     IF(OR(V438="ALI",V438="AIE"),"L",IF(ISBLANK(V438),"","A")),
     IF(V438="EE",IF(Z438&gt;=3,IF(X438&gt;=5,"H","A"),
     IF(Z438&gt;=2,IF(X438&gt;=16,"H",IF(X438&lt;=4,"L","A")),IF(X438&lt;=15,"L","A"))),
     IF(OR(V438="SE",V438="CE"),IF(Z438&gt;=4,IF(X438&gt;=6,"H","A"),IF(Z438&gt;=2,IF(X438&gt;=20,"H",IF(X438&lt;=5,"L","A")),IF(X438&lt;=19,"L","A"))),
     IF(OR(V438="ALI",V438="AIE"),IF(Z438&gt;=6,IF(X438&gt;=20,"H","A"),IF(Z438&gt;=2,IF(X438&gt;=51,"H",IF(X438&lt;=19,"L","A")),IF(X438&lt;=50,"L","A"))))))),
IF('Dados da OS'!$D$8=Parâmetros!$B$6,"Indicativa",
IF('Dados da OS'!$D$8=Parâmetros!$B$5,"PFS","")))</f>
        <v/>
      </c>
      <c r="AF438" s="57">
        <f>IFERROR(VLOOKUP(W438,'Fatores de Impacto e INMs'!$A$3:$D$32,3,0),1)</f>
        <v>1</v>
      </c>
      <c r="AG438" s="57">
        <f>IFERROR(VLOOKUP(W438,'Fatores de Impacto e INMs'!$A$3:$E$32,5,0),1)</f>
        <v>1</v>
      </c>
      <c r="AH438" s="82" t="str">
        <f xml:space="preserve">
IF(OR('Dados da OS'!$D$8="Selecione o tipo da contagem",ISBLANK('Dados da OS'!$D$8),V438="INM",V438="N/A",ISBLANK(V438),ISBLANK(W438),AG438="VF"),"-",
   IF('Dados da OS'!$D$8=Parâmetros!$B$3,
      IF(OR(ISBLANK(X438),ISBLANK(Z438)),"-",
         IF(AE438="L","Baixa",IF(AE438="A","Média",IF(AE438="H","Alta","-")))),
      IF('Dados da OS'!$D$8=Parâmetros!$B$4,
         IF(OR(V438="ALI",V438="AIE"),"Baixa",IF(OR(V438="EE",V438="SE",V438="CE"),"Média","-")),
         IF(OR('Dados da OS'!$D$8=Parâmetros!$B$5,'Dados da OS'!$D$8=Parâmetros!$B$6),"-"))))</f>
        <v>-</v>
      </c>
      <c r="AI438" s="83" t="str">
        <f xml:space="preserve">
IF(OR(ISBLANK(V438),ISBLANK(U438),ISBLANK(W438),V438="N/A",ISBLANK('Dados da OS'!$D$8)),"",
   IF(OR('Dados da OS'!$D$8=Parâmetros!$B$3,'Dados da OS'!$D$8=Parâmetros!$B$4),
      IF(OR(AND(V438="INM",AG438&lt;&gt;"VF"),AND(AG438="VF",V438&lt;&gt;"INM")),"",
        IF(AND(V438="INM",AG438="VF"),IF(ISBLANK(AB438),"",AF438*AB438),
        IF('Dados da OS'!$D$8=Parâmetros!$B$4,
           IF(OR(V438="CE",V438="EE"),4,IF(V438="SE",5,IF(V438="ALI",7,IF(V438="AIE",5,"")))),
        IF('Dados da OS'!$D$8=Parâmetros!$B$3,
           IF(OR(ISBLANK(X438),ISBLANK(Z438)),"",
              IF(V438="ALI",IF(AE438="L",7,IF(AE438="A",10,15)),
                 IF(V438="AIE",IF(AE438="L",5,IF(AE438="A",7,10)),
                    IF(V438="SE",IF(AE438="L",4,IF(AE438="A",5,7)),
                       IF(OR(V438="EE",V438="CE"),IF(AE438="L",3,IF(AE438="A",4,6)),""))))))))),
   IF('Dados da OS'!$D$8=Parâmetros!$B$5,
      IF(OR(AND(V438="INM",AG438&lt;&gt;"VF"),AND(AG438="VF",V438&lt;&gt;"INM")),"",
         IF(V438="INM",IF(AG438="VF",AF438*AB438,""),
            IF(V438="PE",4.6,
            IF(V438="AL",7,"")))),
   IF('Dados da OS'!$D$8=Parâmetros!$B$6,
      IF(V438="ALI",35,IF(V438="AIE",15,"")),""))
    )
)</f>
        <v/>
      </c>
      <c r="AJ438" s="82" t="str">
        <f t="shared" si="46"/>
        <v/>
      </c>
      <c r="AK438" s="84"/>
      <c r="AL438" s="85" t="s">
        <v>21</v>
      </c>
      <c r="AM438" s="86"/>
      <c r="AN438" s="85"/>
      <c r="AO438" s="87"/>
      <c r="AP438" s="85"/>
      <c r="AQ438" s="86"/>
      <c r="AR438" s="85"/>
    </row>
    <row r="439" spans="1:44" ht="15.75" customHeight="1">
      <c r="A439" s="54"/>
      <c r="B439" s="100"/>
      <c r="C439" s="55"/>
      <c r="D439" s="55"/>
      <c r="E439" s="56"/>
      <c r="F439" s="55"/>
      <c r="G439" s="56"/>
      <c r="H439" s="55"/>
      <c r="I439" s="64"/>
      <c r="J439" s="57" t="str">
        <f t="shared" si="47"/>
        <v/>
      </c>
      <c r="K439" s="57" t="str">
        <f t="shared" si="48"/>
        <v/>
      </c>
      <c r="L439" s="57" t="str">
        <f xml:space="preserve">
IF(OR('Dados da OS'!$D$8=Parâmetros!$B$3,'Dados da OS'!$D$8=Parâmetros!$B$4),
  IF(OR(ISBLANK(D439),ISBLANK(F439)),
     IF(OR(B439="ALI",B439="AIE"),"L",IF(ISBLANK(B439),"","A")),
     IF(B439="EE",IF(F439&gt;=3,IF(D439&gt;=5,"H","A"),
     IF(F439&gt;=2,IF(D439&gt;=16,"H",IF(D439&lt;=4,"L","A")),IF(D439&lt;=15,"L","A"))),
     IF(OR(B439="SE",B439="CE"),IF(F439&gt;=4,IF(D439&gt;=6,"H","A"),IF(F439&gt;=2,IF(D439&gt;=20,"H",IF(D439&lt;=5,"L","A")),IF(D439&lt;=19,"L","A"))),
     IF(OR(B439="ALI",B439="AIE"),IF(F439&gt;=6,IF(D439&gt;=20,"H","A"),IF(F439&gt;=2,IF(D439&gt;=51,"H",IF(D439&lt;=19,"L","A")),IF(D439&lt;=50,"L","A"))))))),
IF('Dados da OS'!$D$8=Parâmetros!$B$6,"Indicativa",
IF('Dados da OS'!$D$8=Parâmetros!$B$5,"PFS","")))</f>
        <v/>
      </c>
      <c r="M439" s="57">
        <f>IFERROR(VLOOKUP(C439,'Fatores de Impacto e INMs'!$A$3:$D$32,3,0),1)</f>
        <v>1</v>
      </c>
      <c r="N439" s="57">
        <f>IFERROR(VLOOKUP(C439,'Fatores de Impacto e INMs'!$A$3:$E$32,5,0),1)</f>
        <v>1</v>
      </c>
      <c r="O439" s="63" t="str">
        <f xml:space="preserve">
IF(OR('Dados da OS'!$D$8="Selecione o tipo da contagem",ISBLANK('Dados da OS'!$D$8),B439="INM",B439="N/A",ISBLANK(B439),ISBLANK(C439),N439="VF"),"-",
   IF('Dados da OS'!$D$8=Parâmetros!$B$3,
      IF(OR(ISBLANK(D439),ISBLANK(F439)),"-",
         IF(L439="L","Baixa",IF(L439="A","Média",IF(L439="H","Alta","-")))),
      IF('Dados da OS'!$D$8=Parâmetros!$B$4,
         IF(OR(B439="ALI",B439="AIE"),"Baixa",IF(OR(B439="EE",B439="SE",B439="CE"),"Média","-")),
         IF(OR('Dados da OS'!$D$8=Parâmetros!$B$5,'Dados da OS'!$D$8=Parâmetros!$B$6),"-"))))</f>
        <v>-</v>
      </c>
      <c r="P439" s="59" t="str">
        <f xml:space="preserve">
IF(OR(ISBLANK(B439),ISBLANK(C439),B439="N/A",ISBLANK('Dados da OS'!$D$8)),"",
   IF(OR('Dados da OS'!$D$8=Parâmetros!$B$3,'Dados da OS'!$D$8=Parâmetros!$B$4),
      IF(OR(AND(B439="INM",N439&lt;&gt;"VF"),AND(N439="VF",B439&lt;&gt;"INM")),"",
        IF(AND(B439="INM",N439="VF"),IF(ISBLANK(H439),"",M439*H439),
        IF('Dados da OS'!$D$8=Parâmetros!$B$4,
           IF(OR(B439="CE",B439="EE"),4,IF(B439="SE",5,IF(B439="ALI",7,IF(B439="AIE",5,"")))),
        IF('Dados da OS'!$D$8=Parâmetros!$B$3,
           IF(OR(ISBLANK(D439),ISBLANK(F439)),"",
              IF(B439="ALI",IF(L439="L",7,IF(L439="A",10,15)),
                 IF(B439="AIE",IF(L439="L",5,IF(L439="A",7,10)),
                    IF(B439="SE",IF(L439="L",4,IF(L439="A",5,7)),
                       IF(OR(B439="EE",B439="CE"),IF(L439="L",3,IF(L439="A",4,6)),""))))))))),
   IF('Dados da OS'!$D$8=Parâmetros!$B$5,
      IF(OR(AND(B439="INM",N439&lt;&gt;"VF"),AND(N439="VF",B439&lt;&gt;"INM")),"",
         IF(B439="INM",IF(N439="VF",M439*H439,""),
            IF(B439="PE",4.6,
            IF(B439="AL",7,"")))),
   IF('Dados da OS'!$D$8=Parâmetros!$B$6,
      IF(B439="ALI",35,IF(B439="AIE",15,"")),""))
    )
)</f>
        <v/>
      </c>
      <c r="Q439" s="60" t="str">
        <f t="shared" si="43"/>
        <v/>
      </c>
      <c r="R439" s="61"/>
      <c r="S439" s="62"/>
      <c r="T439" s="80" t="s">
        <v>21</v>
      </c>
      <c r="U439" s="81"/>
      <c r="V439" s="99"/>
      <c r="W439" s="55"/>
      <c r="X439" s="55"/>
      <c r="Y439" s="56"/>
      <c r="Z439" s="55"/>
      <c r="AA439" s="56"/>
      <c r="AB439" s="55"/>
      <c r="AC439" s="57" t="str">
        <f t="shared" si="44"/>
        <v/>
      </c>
      <c r="AD439" s="57" t="str">
        <f t="shared" si="45"/>
        <v/>
      </c>
      <c r="AE439" s="57" t="str">
        <f xml:space="preserve">
IF(OR('Dados da OS'!$D$8=Parâmetros!$B$3,'Dados da OS'!$D$8=Parâmetros!$B$4),
  IF(OR(ISBLANK(X439),ISBLANK(Z439)),
     IF(OR(V439="ALI",V439="AIE"),"L",IF(ISBLANK(V439),"","A")),
     IF(V439="EE",IF(Z439&gt;=3,IF(X439&gt;=5,"H","A"),
     IF(Z439&gt;=2,IF(X439&gt;=16,"H",IF(X439&lt;=4,"L","A")),IF(X439&lt;=15,"L","A"))),
     IF(OR(V439="SE",V439="CE"),IF(Z439&gt;=4,IF(X439&gt;=6,"H","A"),IF(Z439&gt;=2,IF(X439&gt;=20,"H",IF(X439&lt;=5,"L","A")),IF(X439&lt;=19,"L","A"))),
     IF(OR(V439="ALI",V439="AIE"),IF(Z439&gt;=6,IF(X439&gt;=20,"H","A"),IF(Z439&gt;=2,IF(X439&gt;=51,"H",IF(X439&lt;=19,"L","A")),IF(X439&lt;=50,"L","A"))))))),
IF('Dados da OS'!$D$8=Parâmetros!$B$6,"Indicativa",
IF('Dados da OS'!$D$8=Parâmetros!$B$5,"PFS","")))</f>
        <v/>
      </c>
      <c r="AF439" s="57">
        <f>IFERROR(VLOOKUP(W439,'Fatores de Impacto e INMs'!$A$3:$D$32,3,0),1)</f>
        <v>1</v>
      </c>
      <c r="AG439" s="57">
        <f>IFERROR(VLOOKUP(W439,'Fatores de Impacto e INMs'!$A$3:$E$32,5,0),1)</f>
        <v>1</v>
      </c>
      <c r="AH439" s="82" t="str">
        <f xml:space="preserve">
IF(OR('Dados da OS'!$D$8="Selecione o tipo da contagem",ISBLANK('Dados da OS'!$D$8),V439="INM",V439="N/A",ISBLANK(V439),ISBLANK(W439),AG439="VF"),"-",
   IF('Dados da OS'!$D$8=Parâmetros!$B$3,
      IF(OR(ISBLANK(X439),ISBLANK(Z439)),"-",
         IF(AE439="L","Baixa",IF(AE439="A","Média",IF(AE439="H","Alta","-")))),
      IF('Dados da OS'!$D$8=Parâmetros!$B$4,
         IF(OR(V439="ALI",V439="AIE"),"Baixa",IF(OR(V439="EE",V439="SE",V439="CE"),"Média","-")),
         IF(OR('Dados da OS'!$D$8=Parâmetros!$B$5,'Dados da OS'!$D$8=Parâmetros!$B$6),"-"))))</f>
        <v>-</v>
      </c>
      <c r="AI439" s="83" t="str">
        <f xml:space="preserve">
IF(OR(ISBLANK(V439),ISBLANK(U439),ISBLANK(W439),V439="N/A",ISBLANK('Dados da OS'!$D$8)),"",
   IF(OR('Dados da OS'!$D$8=Parâmetros!$B$3,'Dados da OS'!$D$8=Parâmetros!$B$4),
      IF(OR(AND(V439="INM",AG439&lt;&gt;"VF"),AND(AG439="VF",V439&lt;&gt;"INM")),"",
        IF(AND(V439="INM",AG439="VF"),IF(ISBLANK(AB439),"",AF439*AB439),
        IF('Dados da OS'!$D$8=Parâmetros!$B$4,
           IF(OR(V439="CE",V439="EE"),4,IF(V439="SE",5,IF(V439="ALI",7,IF(V439="AIE",5,"")))),
        IF('Dados da OS'!$D$8=Parâmetros!$B$3,
           IF(OR(ISBLANK(X439),ISBLANK(Z439)),"",
              IF(V439="ALI",IF(AE439="L",7,IF(AE439="A",10,15)),
                 IF(V439="AIE",IF(AE439="L",5,IF(AE439="A",7,10)),
                    IF(V439="SE",IF(AE439="L",4,IF(AE439="A",5,7)),
                       IF(OR(V439="EE",V439="CE"),IF(AE439="L",3,IF(AE439="A",4,6)),""))))))))),
   IF('Dados da OS'!$D$8=Parâmetros!$B$5,
      IF(OR(AND(V439="INM",AG439&lt;&gt;"VF"),AND(AG439="VF",V439&lt;&gt;"INM")),"",
         IF(V439="INM",IF(AG439="VF",AF439*AB439,""),
            IF(V439="PE",4.6,
            IF(V439="AL",7,"")))),
   IF('Dados da OS'!$D$8=Parâmetros!$B$6,
      IF(V439="ALI",35,IF(V439="AIE",15,"")),""))
    )
)</f>
        <v/>
      </c>
      <c r="AJ439" s="82" t="str">
        <f t="shared" si="46"/>
        <v/>
      </c>
      <c r="AK439" s="84"/>
      <c r="AL439" s="85" t="s">
        <v>21</v>
      </c>
      <c r="AM439" s="86"/>
      <c r="AN439" s="85"/>
      <c r="AO439" s="87"/>
      <c r="AP439" s="85"/>
      <c r="AQ439" s="86"/>
      <c r="AR439" s="85"/>
    </row>
    <row r="440" spans="1:44" ht="15.75" customHeight="1">
      <c r="A440" s="54"/>
      <c r="B440" s="100"/>
      <c r="C440" s="55"/>
      <c r="D440" s="55"/>
      <c r="E440" s="56"/>
      <c r="F440" s="55"/>
      <c r="G440" s="56"/>
      <c r="H440" s="55"/>
      <c r="I440" s="64"/>
      <c r="J440" s="57" t="str">
        <f t="shared" si="47"/>
        <v/>
      </c>
      <c r="K440" s="57" t="str">
        <f t="shared" si="48"/>
        <v/>
      </c>
      <c r="L440" s="57" t="str">
        <f xml:space="preserve">
IF(OR('Dados da OS'!$D$8=Parâmetros!$B$3,'Dados da OS'!$D$8=Parâmetros!$B$4),
  IF(OR(ISBLANK(D440),ISBLANK(F440)),
     IF(OR(B440="ALI",B440="AIE"),"L",IF(ISBLANK(B440),"","A")),
     IF(B440="EE",IF(F440&gt;=3,IF(D440&gt;=5,"H","A"),
     IF(F440&gt;=2,IF(D440&gt;=16,"H",IF(D440&lt;=4,"L","A")),IF(D440&lt;=15,"L","A"))),
     IF(OR(B440="SE",B440="CE"),IF(F440&gt;=4,IF(D440&gt;=6,"H","A"),IF(F440&gt;=2,IF(D440&gt;=20,"H",IF(D440&lt;=5,"L","A")),IF(D440&lt;=19,"L","A"))),
     IF(OR(B440="ALI",B440="AIE"),IF(F440&gt;=6,IF(D440&gt;=20,"H","A"),IF(F440&gt;=2,IF(D440&gt;=51,"H",IF(D440&lt;=19,"L","A")),IF(D440&lt;=50,"L","A"))))))),
IF('Dados da OS'!$D$8=Parâmetros!$B$6,"Indicativa",
IF('Dados da OS'!$D$8=Parâmetros!$B$5,"PFS","")))</f>
        <v/>
      </c>
      <c r="M440" s="57">
        <f>IFERROR(VLOOKUP(C440,'Fatores de Impacto e INMs'!$A$3:$D$32,3,0),1)</f>
        <v>1</v>
      </c>
      <c r="N440" s="57">
        <f>IFERROR(VLOOKUP(C440,'Fatores de Impacto e INMs'!$A$3:$E$32,5,0),1)</f>
        <v>1</v>
      </c>
      <c r="O440" s="63" t="str">
        <f xml:space="preserve">
IF(OR('Dados da OS'!$D$8="Selecione o tipo da contagem",ISBLANK('Dados da OS'!$D$8),B440="INM",B440="N/A",ISBLANK(B440),ISBLANK(C440),N440="VF"),"-",
   IF('Dados da OS'!$D$8=Parâmetros!$B$3,
      IF(OR(ISBLANK(D440),ISBLANK(F440)),"-",
         IF(L440="L","Baixa",IF(L440="A","Média",IF(L440="H","Alta","-")))),
      IF('Dados da OS'!$D$8=Parâmetros!$B$4,
         IF(OR(B440="ALI",B440="AIE"),"Baixa",IF(OR(B440="EE",B440="SE",B440="CE"),"Média","-")),
         IF(OR('Dados da OS'!$D$8=Parâmetros!$B$5,'Dados da OS'!$D$8=Parâmetros!$B$6),"-"))))</f>
        <v>-</v>
      </c>
      <c r="P440" s="59" t="str">
        <f xml:space="preserve">
IF(OR(ISBLANK(B440),ISBLANK(C440),B440="N/A",ISBLANK('Dados da OS'!$D$8)),"",
   IF(OR('Dados da OS'!$D$8=Parâmetros!$B$3,'Dados da OS'!$D$8=Parâmetros!$B$4),
      IF(OR(AND(B440="INM",N440&lt;&gt;"VF"),AND(N440="VF",B440&lt;&gt;"INM")),"",
        IF(AND(B440="INM",N440="VF"),IF(ISBLANK(H440),"",M440*H440),
        IF('Dados da OS'!$D$8=Parâmetros!$B$4,
           IF(OR(B440="CE",B440="EE"),4,IF(B440="SE",5,IF(B440="ALI",7,IF(B440="AIE",5,"")))),
        IF('Dados da OS'!$D$8=Parâmetros!$B$3,
           IF(OR(ISBLANK(D440),ISBLANK(F440)),"",
              IF(B440="ALI",IF(L440="L",7,IF(L440="A",10,15)),
                 IF(B440="AIE",IF(L440="L",5,IF(L440="A",7,10)),
                    IF(B440="SE",IF(L440="L",4,IF(L440="A",5,7)),
                       IF(OR(B440="EE",B440="CE"),IF(L440="L",3,IF(L440="A",4,6)),""))))))))),
   IF('Dados da OS'!$D$8=Parâmetros!$B$5,
      IF(OR(AND(B440="INM",N440&lt;&gt;"VF"),AND(N440="VF",B440&lt;&gt;"INM")),"",
         IF(B440="INM",IF(N440="VF",M440*H440,""),
            IF(B440="PE",4.6,
            IF(B440="AL",7,"")))),
   IF('Dados da OS'!$D$8=Parâmetros!$B$6,
      IF(B440="ALI",35,IF(B440="AIE",15,"")),""))
    )
)</f>
        <v/>
      </c>
      <c r="Q440" s="60" t="str">
        <f t="shared" si="43"/>
        <v/>
      </c>
      <c r="R440" s="61"/>
      <c r="S440" s="62"/>
      <c r="T440" s="80" t="s">
        <v>21</v>
      </c>
      <c r="U440" s="81"/>
      <c r="V440" s="99"/>
      <c r="W440" s="55"/>
      <c r="X440" s="55"/>
      <c r="Y440" s="56"/>
      <c r="Z440" s="55"/>
      <c r="AA440" s="56"/>
      <c r="AB440" s="55"/>
      <c r="AC440" s="57" t="str">
        <f t="shared" si="44"/>
        <v/>
      </c>
      <c r="AD440" s="57" t="str">
        <f t="shared" si="45"/>
        <v/>
      </c>
      <c r="AE440" s="57" t="str">
        <f xml:space="preserve">
IF(OR('Dados da OS'!$D$8=Parâmetros!$B$3,'Dados da OS'!$D$8=Parâmetros!$B$4),
  IF(OR(ISBLANK(X440),ISBLANK(Z440)),
     IF(OR(V440="ALI",V440="AIE"),"L",IF(ISBLANK(V440),"","A")),
     IF(V440="EE",IF(Z440&gt;=3,IF(X440&gt;=5,"H","A"),
     IF(Z440&gt;=2,IF(X440&gt;=16,"H",IF(X440&lt;=4,"L","A")),IF(X440&lt;=15,"L","A"))),
     IF(OR(V440="SE",V440="CE"),IF(Z440&gt;=4,IF(X440&gt;=6,"H","A"),IF(Z440&gt;=2,IF(X440&gt;=20,"H",IF(X440&lt;=5,"L","A")),IF(X440&lt;=19,"L","A"))),
     IF(OR(V440="ALI",V440="AIE"),IF(Z440&gt;=6,IF(X440&gt;=20,"H","A"),IF(Z440&gt;=2,IF(X440&gt;=51,"H",IF(X440&lt;=19,"L","A")),IF(X440&lt;=50,"L","A"))))))),
IF('Dados da OS'!$D$8=Parâmetros!$B$6,"Indicativa",
IF('Dados da OS'!$D$8=Parâmetros!$B$5,"PFS","")))</f>
        <v/>
      </c>
      <c r="AF440" s="57">
        <f>IFERROR(VLOOKUP(W440,'Fatores de Impacto e INMs'!$A$3:$D$32,3,0),1)</f>
        <v>1</v>
      </c>
      <c r="AG440" s="57">
        <f>IFERROR(VLOOKUP(W440,'Fatores de Impacto e INMs'!$A$3:$E$32,5,0),1)</f>
        <v>1</v>
      </c>
      <c r="AH440" s="82" t="str">
        <f xml:space="preserve">
IF(OR('Dados da OS'!$D$8="Selecione o tipo da contagem",ISBLANK('Dados da OS'!$D$8),V440="INM",V440="N/A",ISBLANK(V440),ISBLANK(W440),AG440="VF"),"-",
   IF('Dados da OS'!$D$8=Parâmetros!$B$3,
      IF(OR(ISBLANK(X440),ISBLANK(Z440)),"-",
         IF(AE440="L","Baixa",IF(AE440="A","Média",IF(AE440="H","Alta","-")))),
      IF('Dados da OS'!$D$8=Parâmetros!$B$4,
         IF(OR(V440="ALI",V440="AIE"),"Baixa",IF(OR(V440="EE",V440="SE",V440="CE"),"Média","-")),
         IF(OR('Dados da OS'!$D$8=Parâmetros!$B$5,'Dados da OS'!$D$8=Parâmetros!$B$6),"-"))))</f>
        <v>-</v>
      </c>
      <c r="AI440" s="83" t="str">
        <f xml:space="preserve">
IF(OR(ISBLANK(V440),ISBLANK(U440),ISBLANK(W440),V440="N/A",ISBLANK('Dados da OS'!$D$8)),"",
   IF(OR('Dados da OS'!$D$8=Parâmetros!$B$3,'Dados da OS'!$D$8=Parâmetros!$B$4),
      IF(OR(AND(V440="INM",AG440&lt;&gt;"VF"),AND(AG440="VF",V440&lt;&gt;"INM")),"",
        IF(AND(V440="INM",AG440="VF"),IF(ISBLANK(AB440),"",AF440*AB440),
        IF('Dados da OS'!$D$8=Parâmetros!$B$4,
           IF(OR(V440="CE",V440="EE"),4,IF(V440="SE",5,IF(V440="ALI",7,IF(V440="AIE",5,"")))),
        IF('Dados da OS'!$D$8=Parâmetros!$B$3,
           IF(OR(ISBLANK(X440),ISBLANK(Z440)),"",
              IF(V440="ALI",IF(AE440="L",7,IF(AE440="A",10,15)),
                 IF(V440="AIE",IF(AE440="L",5,IF(AE440="A",7,10)),
                    IF(V440="SE",IF(AE440="L",4,IF(AE440="A",5,7)),
                       IF(OR(V440="EE",V440="CE"),IF(AE440="L",3,IF(AE440="A",4,6)),""))))))))),
   IF('Dados da OS'!$D$8=Parâmetros!$B$5,
      IF(OR(AND(V440="INM",AG440&lt;&gt;"VF"),AND(AG440="VF",V440&lt;&gt;"INM")),"",
         IF(V440="INM",IF(AG440="VF",AF440*AB440,""),
            IF(V440="PE",4.6,
            IF(V440="AL",7,"")))),
   IF('Dados da OS'!$D$8=Parâmetros!$B$6,
      IF(V440="ALI",35,IF(V440="AIE",15,"")),""))
    )
)</f>
        <v/>
      </c>
      <c r="AJ440" s="82" t="str">
        <f t="shared" si="46"/>
        <v/>
      </c>
      <c r="AK440" s="84"/>
      <c r="AL440" s="85" t="s">
        <v>21</v>
      </c>
      <c r="AM440" s="86"/>
      <c r="AN440" s="85"/>
      <c r="AO440" s="87"/>
      <c r="AP440" s="85"/>
      <c r="AQ440" s="86"/>
      <c r="AR440" s="85"/>
    </row>
    <row r="441" spans="1:44" ht="15.75" customHeight="1">
      <c r="A441" s="54"/>
      <c r="B441" s="100"/>
      <c r="C441" s="55"/>
      <c r="D441" s="55"/>
      <c r="E441" s="56"/>
      <c r="F441" s="55"/>
      <c r="G441" s="56"/>
      <c r="H441" s="55"/>
      <c r="I441" s="64"/>
      <c r="J441" s="57" t="str">
        <f t="shared" si="47"/>
        <v/>
      </c>
      <c r="K441" s="57" t="str">
        <f t="shared" si="48"/>
        <v/>
      </c>
      <c r="L441" s="57" t="str">
        <f xml:space="preserve">
IF(OR('Dados da OS'!$D$8=Parâmetros!$B$3,'Dados da OS'!$D$8=Parâmetros!$B$4),
  IF(OR(ISBLANK(D441),ISBLANK(F441)),
     IF(OR(B441="ALI",B441="AIE"),"L",IF(ISBLANK(B441),"","A")),
     IF(B441="EE",IF(F441&gt;=3,IF(D441&gt;=5,"H","A"),
     IF(F441&gt;=2,IF(D441&gt;=16,"H",IF(D441&lt;=4,"L","A")),IF(D441&lt;=15,"L","A"))),
     IF(OR(B441="SE",B441="CE"),IF(F441&gt;=4,IF(D441&gt;=6,"H","A"),IF(F441&gt;=2,IF(D441&gt;=20,"H",IF(D441&lt;=5,"L","A")),IF(D441&lt;=19,"L","A"))),
     IF(OR(B441="ALI",B441="AIE"),IF(F441&gt;=6,IF(D441&gt;=20,"H","A"),IF(F441&gt;=2,IF(D441&gt;=51,"H",IF(D441&lt;=19,"L","A")),IF(D441&lt;=50,"L","A"))))))),
IF('Dados da OS'!$D$8=Parâmetros!$B$6,"Indicativa",
IF('Dados da OS'!$D$8=Parâmetros!$B$5,"PFS","")))</f>
        <v/>
      </c>
      <c r="M441" s="57">
        <f>IFERROR(VLOOKUP(C441,'Fatores de Impacto e INMs'!$A$3:$D$32,3,0),1)</f>
        <v>1</v>
      </c>
      <c r="N441" s="57">
        <f>IFERROR(VLOOKUP(C441,'Fatores de Impacto e INMs'!$A$3:$E$32,5,0),1)</f>
        <v>1</v>
      </c>
      <c r="O441" s="63" t="str">
        <f xml:space="preserve">
IF(OR('Dados da OS'!$D$8="Selecione o tipo da contagem",ISBLANK('Dados da OS'!$D$8),B441="INM",B441="N/A",ISBLANK(B441),ISBLANK(C441),N441="VF"),"-",
   IF('Dados da OS'!$D$8=Parâmetros!$B$3,
      IF(OR(ISBLANK(D441),ISBLANK(F441)),"-",
         IF(L441="L","Baixa",IF(L441="A","Média",IF(L441="H","Alta","-")))),
      IF('Dados da OS'!$D$8=Parâmetros!$B$4,
         IF(OR(B441="ALI",B441="AIE"),"Baixa",IF(OR(B441="EE",B441="SE",B441="CE"),"Média","-")),
         IF(OR('Dados da OS'!$D$8=Parâmetros!$B$5,'Dados da OS'!$D$8=Parâmetros!$B$6),"-"))))</f>
        <v>-</v>
      </c>
      <c r="P441" s="59" t="str">
        <f xml:space="preserve">
IF(OR(ISBLANK(B441),ISBLANK(C441),B441="N/A",ISBLANK('Dados da OS'!$D$8)),"",
   IF(OR('Dados da OS'!$D$8=Parâmetros!$B$3,'Dados da OS'!$D$8=Parâmetros!$B$4),
      IF(OR(AND(B441="INM",N441&lt;&gt;"VF"),AND(N441="VF",B441&lt;&gt;"INM")),"",
        IF(AND(B441="INM",N441="VF"),IF(ISBLANK(H441),"",M441*H441),
        IF('Dados da OS'!$D$8=Parâmetros!$B$4,
           IF(OR(B441="CE",B441="EE"),4,IF(B441="SE",5,IF(B441="ALI",7,IF(B441="AIE",5,"")))),
        IF('Dados da OS'!$D$8=Parâmetros!$B$3,
           IF(OR(ISBLANK(D441),ISBLANK(F441)),"",
              IF(B441="ALI",IF(L441="L",7,IF(L441="A",10,15)),
                 IF(B441="AIE",IF(L441="L",5,IF(L441="A",7,10)),
                    IF(B441="SE",IF(L441="L",4,IF(L441="A",5,7)),
                       IF(OR(B441="EE",B441="CE"),IF(L441="L",3,IF(L441="A",4,6)),""))))))))),
   IF('Dados da OS'!$D$8=Parâmetros!$B$5,
      IF(OR(AND(B441="INM",N441&lt;&gt;"VF"),AND(N441="VF",B441&lt;&gt;"INM")),"",
         IF(B441="INM",IF(N441="VF",M441*H441,""),
            IF(B441="PE",4.6,
            IF(B441="AL",7,"")))),
   IF('Dados da OS'!$D$8=Parâmetros!$B$6,
      IF(B441="ALI",35,IF(B441="AIE",15,"")),""))
    )
)</f>
        <v/>
      </c>
      <c r="Q441" s="60" t="str">
        <f t="shared" si="43"/>
        <v/>
      </c>
      <c r="R441" s="61"/>
      <c r="S441" s="62"/>
      <c r="T441" s="80" t="s">
        <v>21</v>
      </c>
      <c r="U441" s="81"/>
      <c r="V441" s="99"/>
      <c r="W441" s="55"/>
      <c r="X441" s="55"/>
      <c r="Y441" s="56"/>
      <c r="Z441" s="55"/>
      <c r="AA441" s="56"/>
      <c r="AB441" s="55"/>
      <c r="AC441" s="57" t="str">
        <f t="shared" si="44"/>
        <v/>
      </c>
      <c r="AD441" s="57" t="str">
        <f t="shared" si="45"/>
        <v/>
      </c>
      <c r="AE441" s="57" t="str">
        <f xml:space="preserve">
IF(OR('Dados da OS'!$D$8=Parâmetros!$B$3,'Dados da OS'!$D$8=Parâmetros!$B$4),
  IF(OR(ISBLANK(X441),ISBLANK(Z441)),
     IF(OR(V441="ALI",V441="AIE"),"L",IF(ISBLANK(V441),"","A")),
     IF(V441="EE",IF(Z441&gt;=3,IF(X441&gt;=5,"H","A"),
     IF(Z441&gt;=2,IF(X441&gt;=16,"H",IF(X441&lt;=4,"L","A")),IF(X441&lt;=15,"L","A"))),
     IF(OR(V441="SE",V441="CE"),IF(Z441&gt;=4,IF(X441&gt;=6,"H","A"),IF(Z441&gt;=2,IF(X441&gt;=20,"H",IF(X441&lt;=5,"L","A")),IF(X441&lt;=19,"L","A"))),
     IF(OR(V441="ALI",V441="AIE"),IF(Z441&gt;=6,IF(X441&gt;=20,"H","A"),IF(Z441&gt;=2,IF(X441&gt;=51,"H",IF(X441&lt;=19,"L","A")),IF(X441&lt;=50,"L","A"))))))),
IF('Dados da OS'!$D$8=Parâmetros!$B$6,"Indicativa",
IF('Dados da OS'!$D$8=Parâmetros!$B$5,"PFS","")))</f>
        <v/>
      </c>
      <c r="AF441" s="57">
        <f>IFERROR(VLOOKUP(W441,'Fatores de Impacto e INMs'!$A$3:$D$32,3,0),1)</f>
        <v>1</v>
      </c>
      <c r="AG441" s="57">
        <f>IFERROR(VLOOKUP(W441,'Fatores de Impacto e INMs'!$A$3:$E$32,5,0),1)</f>
        <v>1</v>
      </c>
      <c r="AH441" s="82" t="str">
        <f xml:space="preserve">
IF(OR('Dados da OS'!$D$8="Selecione o tipo da contagem",ISBLANK('Dados da OS'!$D$8),V441="INM",V441="N/A",ISBLANK(V441),ISBLANK(W441),AG441="VF"),"-",
   IF('Dados da OS'!$D$8=Parâmetros!$B$3,
      IF(OR(ISBLANK(X441),ISBLANK(Z441)),"-",
         IF(AE441="L","Baixa",IF(AE441="A","Média",IF(AE441="H","Alta","-")))),
      IF('Dados da OS'!$D$8=Parâmetros!$B$4,
         IF(OR(V441="ALI",V441="AIE"),"Baixa",IF(OR(V441="EE",V441="SE",V441="CE"),"Média","-")),
         IF(OR('Dados da OS'!$D$8=Parâmetros!$B$5,'Dados da OS'!$D$8=Parâmetros!$B$6),"-"))))</f>
        <v>-</v>
      </c>
      <c r="AI441" s="83" t="str">
        <f xml:space="preserve">
IF(OR(ISBLANK(V441),ISBLANK(U441),ISBLANK(W441),V441="N/A",ISBLANK('Dados da OS'!$D$8)),"",
   IF(OR('Dados da OS'!$D$8=Parâmetros!$B$3,'Dados da OS'!$D$8=Parâmetros!$B$4),
      IF(OR(AND(V441="INM",AG441&lt;&gt;"VF"),AND(AG441="VF",V441&lt;&gt;"INM")),"",
        IF(AND(V441="INM",AG441="VF"),IF(ISBLANK(AB441),"",AF441*AB441),
        IF('Dados da OS'!$D$8=Parâmetros!$B$4,
           IF(OR(V441="CE",V441="EE"),4,IF(V441="SE",5,IF(V441="ALI",7,IF(V441="AIE",5,"")))),
        IF('Dados da OS'!$D$8=Parâmetros!$B$3,
           IF(OR(ISBLANK(X441),ISBLANK(Z441)),"",
              IF(V441="ALI",IF(AE441="L",7,IF(AE441="A",10,15)),
                 IF(V441="AIE",IF(AE441="L",5,IF(AE441="A",7,10)),
                    IF(V441="SE",IF(AE441="L",4,IF(AE441="A",5,7)),
                       IF(OR(V441="EE",V441="CE"),IF(AE441="L",3,IF(AE441="A",4,6)),""))))))))),
   IF('Dados da OS'!$D$8=Parâmetros!$B$5,
      IF(OR(AND(V441="INM",AG441&lt;&gt;"VF"),AND(AG441="VF",V441&lt;&gt;"INM")),"",
         IF(V441="INM",IF(AG441="VF",AF441*AB441,""),
            IF(V441="PE",4.6,
            IF(V441="AL",7,"")))),
   IF('Dados da OS'!$D$8=Parâmetros!$B$6,
      IF(V441="ALI",35,IF(V441="AIE",15,"")),""))
    )
)</f>
        <v/>
      </c>
      <c r="AJ441" s="82" t="str">
        <f t="shared" si="46"/>
        <v/>
      </c>
      <c r="AK441" s="84"/>
      <c r="AL441" s="85" t="s">
        <v>21</v>
      </c>
      <c r="AM441" s="86"/>
      <c r="AN441" s="85"/>
      <c r="AO441" s="87"/>
      <c r="AP441" s="85"/>
      <c r="AQ441" s="86"/>
      <c r="AR441" s="85"/>
    </row>
    <row r="442" spans="1:44" ht="15.75" customHeight="1">
      <c r="A442" s="54"/>
      <c r="B442" s="100"/>
      <c r="C442" s="55"/>
      <c r="D442" s="55"/>
      <c r="E442" s="56"/>
      <c r="F442" s="55"/>
      <c r="G442" s="56"/>
      <c r="H442" s="55"/>
      <c r="I442" s="64"/>
      <c r="J442" s="57" t="str">
        <f t="shared" si="47"/>
        <v/>
      </c>
      <c r="K442" s="57" t="str">
        <f t="shared" si="48"/>
        <v/>
      </c>
      <c r="L442" s="57" t="str">
        <f xml:space="preserve">
IF(OR('Dados da OS'!$D$8=Parâmetros!$B$3,'Dados da OS'!$D$8=Parâmetros!$B$4),
  IF(OR(ISBLANK(D442),ISBLANK(F442)),
     IF(OR(B442="ALI",B442="AIE"),"L",IF(ISBLANK(B442),"","A")),
     IF(B442="EE",IF(F442&gt;=3,IF(D442&gt;=5,"H","A"),
     IF(F442&gt;=2,IF(D442&gt;=16,"H",IF(D442&lt;=4,"L","A")),IF(D442&lt;=15,"L","A"))),
     IF(OR(B442="SE",B442="CE"),IF(F442&gt;=4,IF(D442&gt;=6,"H","A"),IF(F442&gt;=2,IF(D442&gt;=20,"H",IF(D442&lt;=5,"L","A")),IF(D442&lt;=19,"L","A"))),
     IF(OR(B442="ALI",B442="AIE"),IF(F442&gt;=6,IF(D442&gt;=20,"H","A"),IF(F442&gt;=2,IF(D442&gt;=51,"H",IF(D442&lt;=19,"L","A")),IF(D442&lt;=50,"L","A"))))))),
IF('Dados da OS'!$D$8=Parâmetros!$B$6,"Indicativa",
IF('Dados da OS'!$D$8=Parâmetros!$B$5,"PFS","")))</f>
        <v/>
      </c>
      <c r="M442" s="57">
        <f>IFERROR(VLOOKUP(C442,'Fatores de Impacto e INMs'!$A$3:$D$32,3,0),1)</f>
        <v>1</v>
      </c>
      <c r="N442" s="57">
        <f>IFERROR(VLOOKUP(C442,'Fatores de Impacto e INMs'!$A$3:$E$32,5,0),1)</f>
        <v>1</v>
      </c>
      <c r="O442" s="63" t="str">
        <f xml:space="preserve">
IF(OR('Dados da OS'!$D$8="Selecione o tipo da contagem",ISBLANK('Dados da OS'!$D$8),B442="INM",B442="N/A",ISBLANK(B442),ISBLANK(C442),N442="VF"),"-",
   IF('Dados da OS'!$D$8=Parâmetros!$B$3,
      IF(OR(ISBLANK(D442),ISBLANK(F442)),"-",
         IF(L442="L","Baixa",IF(L442="A","Média",IF(L442="H","Alta","-")))),
      IF('Dados da OS'!$D$8=Parâmetros!$B$4,
         IF(OR(B442="ALI",B442="AIE"),"Baixa",IF(OR(B442="EE",B442="SE",B442="CE"),"Média","-")),
         IF(OR('Dados da OS'!$D$8=Parâmetros!$B$5,'Dados da OS'!$D$8=Parâmetros!$B$6),"-"))))</f>
        <v>-</v>
      </c>
      <c r="P442" s="59" t="str">
        <f xml:space="preserve">
IF(OR(ISBLANK(B442),ISBLANK(C442),B442="N/A",ISBLANK('Dados da OS'!$D$8)),"",
   IF(OR('Dados da OS'!$D$8=Parâmetros!$B$3,'Dados da OS'!$D$8=Parâmetros!$B$4),
      IF(OR(AND(B442="INM",N442&lt;&gt;"VF"),AND(N442="VF",B442&lt;&gt;"INM")),"",
        IF(AND(B442="INM",N442="VF"),IF(ISBLANK(H442),"",M442*H442),
        IF('Dados da OS'!$D$8=Parâmetros!$B$4,
           IF(OR(B442="CE",B442="EE"),4,IF(B442="SE",5,IF(B442="ALI",7,IF(B442="AIE",5,"")))),
        IF('Dados da OS'!$D$8=Parâmetros!$B$3,
           IF(OR(ISBLANK(D442),ISBLANK(F442)),"",
              IF(B442="ALI",IF(L442="L",7,IF(L442="A",10,15)),
                 IF(B442="AIE",IF(L442="L",5,IF(L442="A",7,10)),
                    IF(B442="SE",IF(L442="L",4,IF(L442="A",5,7)),
                       IF(OR(B442="EE",B442="CE"),IF(L442="L",3,IF(L442="A",4,6)),""))))))))),
   IF('Dados da OS'!$D$8=Parâmetros!$B$5,
      IF(OR(AND(B442="INM",N442&lt;&gt;"VF"),AND(N442="VF",B442&lt;&gt;"INM")),"",
         IF(B442="INM",IF(N442="VF",M442*H442,""),
            IF(B442="PE",4.6,
            IF(B442="AL",7,"")))),
   IF('Dados da OS'!$D$8=Parâmetros!$B$6,
      IF(B442="ALI",35,IF(B442="AIE",15,"")),""))
    )
)</f>
        <v/>
      </c>
      <c r="Q442" s="60" t="str">
        <f t="shared" si="43"/>
        <v/>
      </c>
      <c r="R442" s="61"/>
      <c r="S442" s="62"/>
      <c r="T442" s="80" t="s">
        <v>21</v>
      </c>
      <c r="U442" s="81"/>
      <c r="V442" s="99"/>
      <c r="W442" s="55"/>
      <c r="X442" s="55"/>
      <c r="Y442" s="56"/>
      <c r="Z442" s="55"/>
      <c r="AA442" s="56"/>
      <c r="AB442" s="55"/>
      <c r="AC442" s="57" t="str">
        <f t="shared" si="44"/>
        <v/>
      </c>
      <c r="AD442" s="57" t="str">
        <f t="shared" si="45"/>
        <v/>
      </c>
      <c r="AE442" s="57" t="str">
        <f xml:space="preserve">
IF(OR('Dados da OS'!$D$8=Parâmetros!$B$3,'Dados da OS'!$D$8=Parâmetros!$B$4),
  IF(OR(ISBLANK(X442),ISBLANK(Z442)),
     IF(OR(V442="ALI",V442="AIE"),"L",IF(ISBLANK(V442),"","A")),
     IF(V442="EE",IF(Z442&gt;=3,IF(X442&gt;=5,"H","A"),
     IF(Z442&gt;=2,IF(X442&gt;=16,"H",IF(X442&lt;=4,"L","A")),IF(X442&lt;=15,"L","A"))),
     IF(OR(V442="SE",V442="CE"),IF(Z442&gt;=4,IF(X442&gt;=6,"H","A"),IF(Z442&gt;=2,IF(X442&gt;=20,"H",IF(X442&lt;=5,"L","A")),IF(X442&lt;=19,"L","A"))),
     IF(OR(V442="ALI",V442="AIE"),IF(Z442&gt;=6,IF(X442&gt;=20,"H","A"),IF(Z442&gt;=2,IF(X442&gt;=51,"H",IF(X442&lt;=19,"L","A")),IF(X442&lt;=50,"L","A"))))))),
IF('Dados da OS'!$D$8=Parâmetros!$B$6,"Indicativa",
IF('Dados da OS'!$D$8=Parâmetros!$B$5,"PFS","")))</f>
        <v/>
      </c>
      <c r="AF442" s="57">
        <f>IFERROR(VLOOKUP(W442,'Fatores de Impacto e INMs'!$A$3:$D$32,3,0),1)</f>
        <v>1</v>
      </c>
      <c r="AG442" s="57">
        <f>IFERROR(VLOOKUP(W442,'Fatores de Impacto e INMs'!$A$3:$E$32,5,0),1)</f>
        <v>1</v>
      </c>
      <c r="AH442" s="82" t="str">
        <f xml:space="preserve">
IF(OR('Dados da OS'!$D$8="Selecione o tipo da contagem",ISBLANK('Dados da OS'!$D$8),V442="INM",V442="N/A",ISBLANK(V442),ISBLANK(W442),AG442="VF"),"-",
   IF('Dados da OS'!$D$8=Parâmetros!$B$3,
      IF(OR(ISBLANK(X442),ISBLANK(Z442)),"-",
         IF(AE442="L","Baixa",IF(AE442="A","Média",IF(AE442="H","Alta","-")))),
      IF('Dados da OS'!$D$8=Parâmetros!$B$4,
         IF(OR(V442="ALI",V442="AIE"),"Baixa",IF(OR(V442="EE",V442="SE",V442="CE"),"Média","-")),
         IF(OR('Dados da OS'!$D$8=Parâmetros!$B$5,'Dados da OS'!$D$8=Parâmetros!$B$6),"-"))))</f>
        <v>-</v>
      </c>
      <c r="AI442" s="83" t="str">
        <f xml:space="preserve">
IF(OR(ISBLANK(V442),ISBLANK(U442),ISBLANK(W442),V442="N/A",ISBLANK('Dados da OS'!$D$8)),"",
   IF(OR('Dados da OS'!$D$8=Parâmetros!$B$3,'Dados da OS'!$D$8=Parâmetros!$B$4),
      IF(OR(AND(V442="INM",AG442&lt;&gt;"VF"),AND(AG442="VF",V442&lt;&gt;"INM")),"",
        IF(AND(V442="INM",AG442="VF"),IF(ISBLANK(AB442),"",AF442*AB442),
        IF('Dados da OS'!$D$8=Parâmetros!$B$4,
           IF(OR(V442="CE",V442="EE"),4,IF(V442="SE",5,IF(V442="ALI",7,IF(V442="AIE",5,"")))),
        IF('Dados da OS'!$D$8=Parâmetros!$B$3,
           IF(OR(ISBLANK(X442),ISBLANK(Z442)),"",
              IF(V442="ALI",IF(AE442="L",7,IF(AE442="A",10,15)),
                 IF(V442="AIE",IF(AE442="L",5,IF(AE442="A",7,10)),
                    IF(V442="SE",IF(AE442="L",4,IF(AE442="A",5,7)),
                       IF(OR(V442="EE",V442="CE"),IF(AE442="L",3,IF(AE442="A",4,6)),""))))))))),
   IF('Dados da OS'!$D$8=Parâmetros!$B$5,
      IF(OR(AND(V442="INM",AG442&lt;&gt;"VF"),AND(AG442="VF",V442&lt;&gt;"INM")),"",
         IF(V442="INM",IF(AG442="VF",AF442*AB442,""),
            IF(V442="PE",4.6,
            IF(V442="AL",7,"")))),
   IF('Dados da OS'!$D$8=Parâmetros!$B$6,
      IF(V442="ALI",35,IF(V442="AIE",15,"")),""))
    )
)</f>
        <v/>
      </c>
      <c r="AJ442" s="82" t="str">
        <f t="shared" si="46"/>
        <v/>
      </c>
      <c r="AK442" s="84"/>
      <c r="AL442" s="85" t="s">
        <v>21</v>
      </c>
      <c r="AM442" s="86"/>
      <c r="AN442" s="85"/>
      <c r="AO442" s="87"/>
      <c r="AP442" s="85"/>
      <c r="AQ442" s="86"/>
      <c r="AR442" s="85"/>
    </row>
    <row r="443" spans="1:44" ht="15.75" customHeight="1">
      <c r="A443" s="54"/>
      <c r="B443" s="100"/>
      <c r="C443" s="55"/>
      <c r="D443" s="55"/>
      <c r="E443" s="56"/>
      <c r="F443" s="55"/>
      <c r="G443" s="56"/>
      <c r="H443" s="55"/>
      <c r="I443" s="64"/>
      <c r="J443" s="57" t="str">
        <f t="shared" si="47"/>
        <v/>
      </c>
      <c r="K443" s="57" t="str">
        <f t="shared" si="48"/>
        <v/>
      </c>
      <c r="L443" s="57" t="str">
        <f xml:space="preserve">
IF(OR('Dados da OS'!$D$8=Parâmetros!$B$3,'Dados da OS'!$D$8=Parâmetros!$B$4),
  IF(OR(ISBLANK(D443),ISBLANK(F443)),
     IF(OR(B443="ALI",B443="AIE"),"L",IF(ISBLANK(B443),"","A")),
     IF(B443="EE",IF(F443&gt;=3,IF(D443&gt;=5,"H","A"),
     IF(F443&gt;=2,IF(D443&gt;=16,"H",IF(D443&lt;=4,"L","A")),IF(D443&lt;=15,"L","A"))),
     IF(OR(B443="SE",B443="CE"),IF(F443&gt;=4,IF(D443&gt;=6,"H","A"),IF(F443&gt;=2,IF(D443&gt;=20,"H",IF(D443&lt;=5,"L","A")),IF(D443&lt;=19,"L","A"))),
     IF(OR(B443="ALI",B443="AIE"),IF(F443&gt;=6,IF(D443&gt;=20,"H","A"),IF(F443&gt;=2,IF(D443&gt;=51,"H",IF(D443&lt;=19,"L","A")),IF(D443&lt;=50,"L","A"))))))),
IF('Dados da OS'!$D$8=Parâmetros!$B$6,"Indicativa",
IF('Dados da OS'!$D$8=Parâmetros!$B$5,"PFS","")))</f>
        <v/>
      </c>
      <c r="M443" s="57">
        <f>IFERROR(VLOOKUP(C443,'Fatores de Impacto e INMs'!$A$3:$D$32,3,0),1)</f>
        <v>1</v>
      </c>
      <c r="N443" s="57">
        <f>IFERROR(VLOOKUP(C443,'Fatores de Impacto e INMs'!$A$3:$E$32,5,0),1)</f>
        <v>1</v>
      </c>
      <c r="O443" s="63" t="str">
        <f xml:space="preserve">
IF(OR('Dados da OS'!$D$8="Selecione o tipo da contagem",ISBLANK('Dados da OS'!$D$8),B443="INM",B443="N/A",ISBLANK(B443),ISBLANK(C443),N443="VF"),"-",
   IF('Dados da OS'!$D$8=Parâmetros!$B$3,
      IF(OR(ISBLANK(D443),ISBLANK(F443)),"-",
         IF(L443="L","Baixa",IF(L443="A","Média",IF(L443="H","Alta","-")))),
      IF('Dados da OS'!$D$8=Parâmetros!$B$4,
         IF(OR(B443="ALI",B443="AIE"),"Baixa",IF(OR(B443="EE",B443="SE",B443="CE"),"Média","-")),
         IF(OR('Dados da OS'!$D$8=Parâmetros!$B$5,'Dados da OS'!$D$8=Parâmetros!$B$6),"-"))))</f>
        <v>-</v>
      </c>
      <c r="P443" s="59" t="str">
        <f xml:space="preserve">
IF(OR(ISBLANK(B443),ISBLANK(C443),B443="N/A",ISBLANK('Dados da OS'!$D$8)),"",
   IF(OR('Dados da OS'!$D$8=Parâmetros!$B$3,'Dados da OS'!$D$8=Parâmetros!$B$4),
      IF(OR(AND(B443="INM",N443&lt;&gt;"VF"),AND(N443="VF",B443&lt;&gt;"INM")),"",
        IF(AND(B443="INM",N443="VF"),IF(ISBLANK(H443),"",M443*H443),
        IF('Dados da OS'!$D$8=Parâmetros!$B$4,
           IF(OR(B443="CE",B443="EE"),4,IF(B443="SE",5,IF(B443="ALI",7,IF(B443="AIE",5,"")))),
        IF('Dados da OS'!$D$8=Parâmetros!$B$3,
           IF(OR(ISBLANK(D443),ISBLANK(F443)),"",
              IF(B443="ALI",IF(L443="L",7,IF(L443="A",10,15)),
                 IF(B443="AIE",IF(L443="L",5,IF(L443="A",7,10)),
                    IF(B443="SE",IF(L443="L",4,IF(L443="A",5,7)),
                       IF(OR(B443="EE",B443="CE"),IF(L443="L",3,IF(L443="A",4,6)),""))))))))),
   IF('Dados da OS'!$D$8=Parâmetros!$B$5,
      IF(OR(AND(B443="INM",N443&lt;&gt;"VF"),AND(N443="VF",B443&lt;&gt;"INM")),"",
         IF(B443="INM",IF(N443="VF",M443*H443,""),
            IF(B443="PE",4.6,
            IF(B443="AL",7,"")))),
   IF('Dados da OS'!$D$8=Parâmetros!$B$6,
      IF(B443="ALI",35,IF(B443="AIE",15,"")),""))
    )
)</f>
        <v/>
      </c>
      <c r="Q443" s="60" t="str">
        <f t="shared" si="43"/>
        <v/>
      </c>
      <c r="R443" s="61"/>
      <c r="S443" s="62"/>
      <c r="T443" s="80" t="s">
        <v>21</v>
      </c>
      <c r="U443" s="81"/>
      <c r="V443" s="99"/>
      <c r="W443" s="55"/>
      <c r="X443" s="55"/>
      <c r="Y443" s="56"/>
      <c r="Z443" s="55"/>
      <c r="AA443" s="56"/>
      <c r="AB443" s="55"/>
      <c r="AC443" s="57" t="str">
        <f t="shared" si="44"/>
        <v/>
      </c>
      <c r="AD443" s="57" t="str">
        <f t="shared" si="45"/>
        <v/>
      </c>
      <c r="AE443" s="57" t="str">
        <f xml:space="preserve">
IF(OR('Dados da OS'!$D$8=Parâmetros!$B$3,'Dados da OS'!$D$8=Parâmetros!$B$4),
  IF(OR(ISBLANK(X443),ISBLANK(Z443)),
     IF(OR(V443="ALI",V443="AIE"),"L",IF(ISBLANK(V443),"","A")),
     IF(V443="EE",IF(Z443&gt;=3,IF(X443&gt;=5,"H","A"),
     IF(Z443&gt;=2,IF(X443&gt;=16,"H",IF(X443&lt;=4,"L","A")),IF(X443&lt;=15,"L","A"))),
     IF(OR(V443="SE",V443="CE"),IF(Z443&gt;=4,IF(X443&gt;=6,"H","A"),IF(Z443&gt;=2,IF(X443&gt;=20,"H",IF(X443&lt;=5,"L","A")),IF(X443&lt;=19,"L","A"))),
     IF(OR(V443="ALI",V443="AIE"),IF(Z443&gt;=6,IF(X443&gt;=20,"H","A"),IF(Z443&gt;=2,IF(X443&gt;=51,"H",IF(X443&lt;=19,"L","A")),IF(X443&lt;=50,"L","A"))))))),
IF('Dados da OS'!$D$8=Parâmetros!$B$6,"Indicativa",
IF('Dados da OS'!$D$8=Parâmetros!$B$5,"PFS","")))</f>
        <v/>
      </c>
      <c r="AF443" s="57">
        <f>IFERROR(VLOOKUP(W443,'Fatores de Impacto e INMs'!$A$3:$D$32,3,0),1)</f>
        <v>1</v>
      </c>
      <c r="AG443" s="57">
        <f>IFERROR(VLOOKUP(W443,'Fatores de Impacto e INMs'!$A$3:$E$32,5,0),1)</f>
        <v>1</v>
      </c>
      <c r="AH443" s="82" t="str">
        <f xml:space="preserve">
IF(OR('Dados da OS'!$D$8="Selecione o tipo da contagem",ISBLANK('Dados da OS'!$D$8),V443="INM",V443="N/A",ISBLANK(V443),ISBLANK(W443),AG443="VF"),"-",
   IF('Dados da OS'!$D$8=Parâmetros!$B$3,
      IF(OR(ISBLANK(X443),ISBLANK(Z443)),"-",
         IF(AE443="L","Baixa",IF(AE443="A","Média",IF(AE443="H","Alta","-")))),
      IF('Dados da OS'!$D$8=Parâmetros!$B$4,
         IF(OR(V443="ALI",V443="AIE"),"Baixa",IF(OR(V443="EE",V443="SE",V443="CE"),"Média","-")),
         IF(OR('Dados da OS'!$D$8=Parâmetros!$B$5,'Dados da OS'!$D$8=Parâmetros!$B$6),"-"))))</f>
        <v>-</v>
      </c>
      <c r="AI443" s="83" t="str">
        <f xml:space="preserve">
IF(OR(ISBLANK(V443),ISBLANK(U443),ISBLANK(W443),V443="N/A",ISBLANK('Dados da OS'!$D$8)),"",
   IF(OR('Dados da OS'!$D$8=Parâmetros!$B$3,'Dados da OS'!$D$8=Parâmetros!$B$4),
      IF(OR(AND(V443="INM",AG443&lt;&gt;"VF"),AND(AG443="VF",V443&lt;&gt;"INM")),"",
        IF(AND(V443="INM",AG443="VF"),IF(ISBLANK(AB443),"",AF443*AB443),
        IF('Dados da OS'!$D$8=Parâmetros!$B$4,
           IF(OR(V443="CE",V443="EE"),4,IF(V443="SE",5,IF(V443="ALI",7,IF(V443="AIE",5,"")))),
        IF('Dados da OS'!$D$8=Parâmetros!$B$3,
           IF(OR(ISBLANK(X443),ISBLANK(Z443)),"",
              IF(V443="ALI",IF(AE443="L",7,IF(AE443="A",10,15)),
                 IF(V443="AIE",IF(AE443="L",5,IF(AE443="A",7,10)),
                    IF(V443="SE",IF(AE443="L",4,IF(AE443="A",5,7)),
                       IF(OR(V443="EE",V443="CE"),IF(AE443="L",3,IF(AE443="A",4,6)),""))))))))),
   IF('Dados da OS'!$D$8=Parâmetros!$B$5,
      IF(OR(AND(V443="INM",AG443&lt;&gt;"VF"),AND(AG443="VF",V443&lt;&gt;"INM")),"",
         IF(V443="INM",IF(AG443="VF",AF443*AB443,""),
            IF(V443="PE",4.6,
            IF(V443="AL",7,"")))),
   IF('Dados da OS'!$D$8=Parâmetros!$B$6,
      IF(V443="ALI",35,IF(V443="AIE",15,"")),""))
    )
)</f>
        <v/>
      </c>
      <c r="AJ443" s="82" t="str">
        <f t="shared" si="46"/>
        <v/>
      </c>
      <c r="AK443" s="84"/>
      <c r="AL443" s="85" t="s">
        <v>21</v>
      </c>
      <c r="AM443" s="86"/>
      <c r="AN443" s="85"/>
      <c r="AO443" s="87"/>
      <c r="AP443" s="85"/>
      <c r="AQ443" s="86"/>
      <c r="AR443" s="85"/>
    </row>
    <row r="444" spans="1:44" ht="15.75" customHeight="1">
      <c r="A444" s="54"/>
      <c r="B444" s="100"/>
      <c r="C444" s="55"/>
      <c r="D444" s="55"/>
      <c r="E444" s="56"/>
      <c r="F444" s="55"/>
      <c r="G444" s="56"/>
      <c r="H444" s="55"/>
      <c r="I444" s="64"/>
      <c r="J444" s="57" t="str">
        <f t="shared" si="47"/>
        <v/>
      </c>
      <c r="K444" s="57" t="str">
        <f t="shared" si="48"/>
        <v/>
      </c>
      <c r="L444" s="57" t="str">
        <f xml:space="preserve">
IF(OR('Dados da OS'!$D$8=Parâmetros!$B$3,'Dados da OS'!$D$8=Parâmetros!$B$4),
  IF(OR(ISBLANK(D444),ISBLANK(F444)),
     IF(OR(B444="ALI",B444="AIE"),"L",IF(ISBLANK(B444),"","A")),
     IF(B444="EE",IF(F444&gt;=3,IF(D444&gt;=5,"H","A"),
     IF(F444&gt;=2,IF(D444&gt;=16,"H",IF(D444&lt;=4,"L","A")),IF(D444&lt;=15,"L","A"))),
     IF(OR(B444="SE",B444="CE"),IF(F444&gt;=4,IF(D444&gt;=6,"H","A"),IF(F444&gt;=2,IF(D444&gt;=20,"H",IF(D444&lt;=5,"L","A")),IF(D444&lt;=19,"L","A"))),
     IF(OR(B444="ALI",B444="AIE"),IF(F444&gt;=6,IF(D444&gt;=20,"H","A"),IF(F444&gt;=2,IF(D444&gt;=51,"H",IF(D444&lt;=19,"L","A")),IF(D444&lt;=50,"L","A"))))))),
IF('Dados da OS'!$D$8=Parâmetros!$B$6,"Indicativa",
IF('Dados da OS'!$D$8=Parâmetros!$B$5,"PFS","")))</f>
        <v/>
      </c>
      <c r="M444" s="57">
        <f>IFERROR(VLOOKUP(C444,'Fatores de Impacto e INMs'!$A$3:$D$32,3,0),1)</f>
        <v>1</v>
      </c>
      <c r="N444" s="57">
        <f>IFERROR(VLOOKUP(C444,'Fatores de Impacto e INMs'!$A$3:$E$32,5,0),1)</f>
        <v>1</v>
      </c>
      <c r="O444" s="63" t="str">
        <f xml:space="preserve">
IF(OR('Dados da OS'!$D$8="Selecione o tipo da contagem",ISBLANK('Dados da OS'!$D$8),B444="INM",B444="N/A",ISBLANK(B444),ISBLANK(C444),N444="VF"),"-",
   IF('Dados da OS'!$D$8=Parâmetros!$B$3,
      IF(OR(ISBLANK(D444),ISBLANK(F444)),"-",
         IF(L444="L","Baixa",IF(L444="A","Média",IF(L444="H","Alta","-")))),
      IF('Dados da OS'!$D$8=Parâmetros!$B$4,
         IF(OR(B444="ALI",B444="AIE"),"Baixa",IF(OR(B444="EE",B444="SE",B444="CE"),"Média","-")),
         IF(OR('Dados da OS'!$D$8=Parâmetros!$B$5,'Dados da OS'!$D$8=Parâmetros!$B$6),"-"))))</f>
        <v>-</v>
      </c>
      <c r="P444" s="59" t="str">
        <f xml:space="preserve">
IF(OR(ISBLANK(B444),ISBLANK(C444),B444="N/A",ISBLANK('Dados da OS'!$D$8)),"",
   IF(OR('Dados da OS'!$D$8=Parâmetros!$B$3,'Dados da OS'!$D$8=Parâmetros!$B$4),
      IF(OR(AND(B444="INM",N444&lt;&gt;"VF"),AND(N444="VF",B444&lt;&gt;"INM")),"",
        IF(AND(B444="INM",N444="VF"),IF(ISBLANK(H444),"",M444*H444),
        IF('Dados da OS'!$D$8=Parâmetros!$B$4,
           IF(OR(B444="CE",B444="EE"),4,IF(B444="SE",5,IF(B444="ALI",7,IF(B444="AIE",5,"")))),
        IF('Dados da OS'!$D$8=Parâmetros!$B$3,
           IF(OR(ISBLANK(D444),ISBLANK(F444)),"",
              IF(B444="ALI",IF(L444="L",7,IF(L444="A",10,15)),
                 IF(B444="AIE",IF(L444="L",5,IF(L444="A",7,10)),
                    IF(B444="SE",IF(L444="L",4,IF(L444="A",5,7)),
                       IF(OR(B444="EE",B444="CE"),IF(L444="L",3,IF(L444="A",4,6)),""))))))))),
   IF('Dados da OS'!$D$8=Parâmetros!$B$5,
      IF(OR(AND(B444="INM",N444&lt;&gt;"VF"),AND(N444="VF",B444&lt;&gt;"INM")),"",
         IF(B444="INM",IF(N444="VF",M444*H444,""),
            IF(B444="PE",4.6,
            IF(B444="AL",7,"")))),
   IF('Dados da OS'!$D$8=Parâmetros!$B$6,
      IF(B444="ALI",35,IF(B444="AIE",15,"")),""))
    )
)</f>
        <v/>
      </c>
      <c r="Q444" s="60" t="str">
        <f t="shared" si="43"/>
        <v/>
      </c>
      <c r="R444" s="61"/>
      <c r="S444" s="62"/>
      <c r="T444" s="80" t="s">
        <v>21</v>
      </c>
      <c r="U444" s="81"/>
      <c r="V444" s="99"/>
      <c r="W444" s="55"/>
      <c r="X444" s="55"/>
      <c r="Y444" s="56"/>
      <c r="Z444" s="55"/>
      <c r="AA444" s="56"/>
      <c r="AB444" s="55"/>
      <c r="AC444" s="57" t="str">
        <f t="shared" si="44"/>
        <v/>
      </c>
      <c r="AD444" s="57" t="str">
        <f t="shared" si="45"/>
        <v/>
      </c>
      <c r="AE444" s="57" t="str">
        <f xml:space="preserve">
IF(OR('Dados da OS'!$D$8=Parâmetros!$B$3,'Dados da OS'!$D$8=Parâmetros!$B$4),
  IF(OR(ISBLANK(X444),ISBLANK(Z444)),
     IF(OR(V444="ALI",V444="AIE"),"L",IF(ISBLANK(V444),"","A")),
     IF(V444="EE",IF(Z444&gt;=3,IF(X444&gt;=5,"H","A"),
     IF(Z444&gt;=2,IF(X444&gt;=16,"H",IF(X444&lt;=4,"L","A")),IF(X444&lt;=15,"L","A"))),
     IF(OR(V444="SE",V444="CE"),IF(Z444&gt;=4,IF(X444&gt;=6,"H","A"),IF(Z444&gt;=2,IF(X444&gt;=20,"H",IF(X444&lt;=5,"L","A")),IF(X444&lt;=19,"L","A"))),
     IF(OR(V444="ALI",V444="AIE"),IF(Z444&gt;=6,IF(X444&gt;=20,"H","A"),IF(Z444&gt;=2,IF(X444&gt;=51,"H",IF(X444&lt;=19,"L","A")),IF(X444&lt;=50,"L","A"))))))),
IF('Dados da OS'!$D$8=Parâmetros!$B$6,"Indicativa",
IF('Dados da OS'!$D$8=Parâmetros!$B$5,"PFS","")))</f>
        <v/>
      </c>
      <c r="AF444" s="57">
        <f>IFERROR(VLOOKUP(W444,'Fatores de Impacto e INMs'!$A$3:$D$32,3,0),1)</f>
        <v>1</v>
      </c>
      <c r="AG444" s="57">
        <f>IFERROR(VLOOKUP(W444,'Fatores de Impacto e INMs'!$A$3:$E$32,5,0),1)</f>
        <v>1</v>
      </c>
      <c r="AH444" s="82" t="str">
        <f xml:space="preserve">
IF(OR('Dados da OS'!$D$8="Selecione o tipo da contagem",ISBLANK('Dados da OS'!$D$8),V444="INM",V444="N/A",ISBLANK(V444),ISBLANK(W444),AG444="VF"),"-",
   IF('Dados da OS'!$D$8=Parâmetros!$B$3,
      IF(OR(ISBLANK(X444),ISBLANK(Z444)),"-",
         IF(AE444="L","Baixa",IF(AE444="A","Média",IF(AE444="H","Alta","-")))),
      IF('Dados da OS'!$D$8=Parâmetros!$B$4,
         IF(OR(V444="ALI",V444="AIE"),"Baixa",IF(OR(V444="EE",V444="SE",V444="CE"),"Média","-")),
         IF(OR('Dados da OS'!$D$8=Parâmetros!$B$5,'Dados da OS'!$D$8=Parâmetros!$B$6),"-"))))</f>
        <v>-</v>
      </c>
      <c r="AI444" s="83" t="str">
        <f xml:space="preserve">
IF(OR(ISBLANK(V444),ISBLANK(U444),ISBLANK(W444),V444="N/A",ISBLANK('Dados da OS'!$D$8)),"",
   IF(OR('Dados da OS'!$D$8=Parâmetros!$B$3,'Dados da OS'!$D$8=Parâmetros!$B$4),
      IF(OR(AND(V444="INM",AG444&lt;&gt;"VF"),AND(AG444="VF",V444&lt;&gt;"INM")),"",
        IF(AND(V444="INM",AG444="VF"),IF(ISBLANK(AB444),"",AF444*AB444),
        IF('Dados da OS'!$D$8=Parâmetros!$B$4,
           IF(OR(V444="CE",V444="EE"),4,IF(V444="SE",5,IF(V444="ALI",7,IF(V444="AIE",5,"")))),
        IF('Dados da OS'!$D$8=Parâmetros!$B$3,
           IF(OR(ISBLANK(X444),ISBLANK(Z444)),"",
              IF(V444="ALI",IF(AE444="L",7,IF(AE444="A",10,15)),
                 IF(V444="AIE",IF(AE444="L",5,IF(AE444="A",7,10)),
                    IF(V444="SE",IF(AE444="L",4,IF(AE444="A",5,7)),
                       IF(OR(V444="EE",V444="CE"),IF(AE444="L",3,IF(AE444="A",4,6)),""))))))))),
   IF('Dados da OS'!$D$8=Parâmetros!$B$5,
      IF(OR(AND(V444="INM",AG444&lt;&gt;"VF"),AND(AG444="VF",V444&lt;&gt;"INM")),"",
         IF(V444="INM",IF(AG444="VF",AF444*AB444,""),
            IF(V444="PE",4.6,
            IF(V444="AL",7,"")))),
   IF('Dados da OS'!$D$8=Parâmetros!$B$6,
      IF(V444="ALI",35,IF(V444="AIE",15,"")),""))
    )
)</f>
        <v/>
      </c>
      <c r="AJ444" s="82" t="str">
        <f t="shared" si="46"/>
        <v/>
      </c>
      <c r="AK444" s="84"/>
      <c r="AL444" s="85" t="s">
        <v>21</v>
      </c>
      <c r="AM444" s="86"/>
      <c r="AN444" s="85"/>
      <c r="AO444" s="87"/>
      <c r="AP444" s="85"/>
      <c r="AQ444" s="86"/>
      <c r="AR444" s="85"/>
    </row>
    <row r="445" spans="1:44" ht="15.75" customHeight="1">
      <c r="A445" s="54"/>
      <c r="B445" s="100"/>
      <c r="C445" s="55"/>
      <c r="D445" s="55"/>
      <c r="E445" s="56"/>
      <c r="F445" s="55"/>
      <c r="G445" s="56"/>
      <c r="H445" s="55"/>
      <c r="I445" s="64"/>
      <c r="J445" s="57" t="str">
        <f t="shared" si="47"/>
        <v/>
      </c>
      <c r="K445" s="57" t="str">
        <f t="shared" si="48"/>
        <v/>
      </c>
      <c r="L445" s="57" t="str">
        <f xml:space="preserve">
IF(OR('Dados da OS'!$D$8=Parâmetros!$B$3,'Dados da OS'!$D$8=Parâmetros!$B$4),
  IF(OR(ISBLANK(D445),ISBLANK(F445)),
     IF(OR(B445="ALI",B445="AIE"),"L",IF(ISBLANK(B445),"","A")),
     IF(B445="EE",IF(F445&gt;=3,IF(D445&gt;=5,"H","A"),
     IF(F445&gt;=2,IF(D445&gt;=16,"H",IF(D445&lt;=4,"L","A")),IF(D445&lt;=15,"L","A"))),
     IF(OR(B445="SE",B445="CE"),IF(F445&gt;=4,IF(D445&gt;=6,"H","A"),IF(F445&gt;=2,IF(D445&gt;=20,"H",IF(D445&lt;=5,"L","A")),IF(D445&lt;=19,"L","A"))),
     IF(OR(B445="ALI",B445="AIE"),IF(F445&gt;=6,IF(D445&gt;=20,"H","A"),IF(F445&gt;=2,IF(D445&gt;=51,"H",IF(D445&lt;=19,"L","A")),IF(D445&lt;=50,"L","A"))))))),
IF('Dados da OS'!$D$8=Parâmetros!$B$6,"Indicativa",
IF('Dados da OS'!$D$8=Parâmetros!$B$5,"PFS","")))</f>
        <v/>
      </c>
      <c r="M445" s="57">
        <f>IFERROR(VLOOKUP(C445,'Fatores de Impacto e INMs'!$A$3:$D$32,3,0),1)</f>
        <v>1</v>
      </c>
      <c r="N445" s="57">
        <f>IFERROR(VLOOKUP(C445,'Fatores de Impacto e INMs'!$A$3:$E$32,5,0),1)</f>
        <v>1</v>
      </c>
      <c r="O445" s="63" t="str">
        <f xml:space="preserve">
IF(OR('Dados da OS'!$D$8="Selecione o tipo da contagem",ISBLANK('Dados da OS'!$D$8),B445="INM",B445="N/A",ISBLANK(B445),ISBLANK(C445),N445="VF"),"-",
   IF('Dados da OS'!$D$8=Parâmetros!$B$3,
      IF(OR(ISBLANK(D445),ISBLANK(F445)),"-",
         IF(L445="L","Baixa",IF(L445="A","Média",IF(L445="H","Alta","-")))),
      IF('Dados da OS'!$D$8=Parâmetros!$B$4,
         IF(OR(B445="ALI",B445="AIE"),"Baixa",IF(OR(B445="EE",B445="SE",B445="CE"),"Média","-")),
         IF(OR('Dados da OS'!$D$8=Parâmetros!$B$5,'Dados da OS'!$D$8=Parâmetros!$B$6),"-"))))</f>
        <v>-</v>
      </c>
      <c r="P445" s="59" t="str">
        <f xml:space="preserve">
IF(OR(ISBLANK(B445),ISBLANK(C445),B445="N/A",ISBLANK('Dados da OS'!$D$8)),"",
   IF(OR('Dados da OS'!$D$8=Parâmetros!$B$3,'Dados da OS'!$D$8=Parâmetros!$B$4),
      IF(OR(AND(B445="INM",N445&lt;&gt;"VF"),AND(N445="VF",B445&lt;&gt;"INM")),"",
        IF(AND(B445="INM",N445="VF"),IF(ISBLANK(H445),"",M445*H445),
        IF('Dados da OS'!$D$8=Parâmetros!$B$4,
           IF(OR(B445="CE",B445="EE"),4,IF(B445="SE",5,IF(B445="ALI",7,IF(B445="AIE",5,"")))),
        IF('Dados da OS'!$D$8=Parâmetros!$B$3,
           IF(OR(ISBLANK(D445),ISBLANK(F445)),"",
              IF(B445="ALI",IF(L445="L",7,IF(L445="A",10,15)),
                 IF(B445="AIE",IF(L445="L",5,IF(L445="A",7,10)),
                    IF(B445="SE",IF(L445="L",4,IF(L445="A",5,7)),
                       IF(OR(B445="EE",B445="CE"),IF(L445="L",3,IF(L445="A",4,6)),""))))))))),
   IF('Dados da OS'!$D$8=Parâmetros!$B$5,
      IF(OR(AND(B445="INM",N445&lt;&gt;"VF"),AND(N445="VF",B445&lt;&gt;"INM")),"",
         IF(B445="INM",IF(N445="VF",M445*H445,""),
            IF(B445="PE",4.6,
            IF(B445="AL",7,"")))),
   IF('Dados da OS'!$D$8=Parâmetros!$B$6,
      IF(B445="ALI",35,IF(B445="AIE",15,"")),""))
    )
)</f>
        <v/>
      </c>
      <c r="Q445" s="60" t="str">
        <f t="shared" si="43"/>
        <v/>
      </c>
      <c r="R445" s="61"/>
      <c r="S445" s="62"/>
      <c r="T445" s="80" t="s">
        <v>21</v>
      </c>
      <c r="U445" s="81"/>
      <c r="V445" s="99"/>
      <c r="W445" s="55"/>
      <c r="X445" s="55"/>
      <c r="Y445" s="56"/>
      <c r="Z445" s="55"/>
      <c r="AA445" s="56"/>
      <c r="AB445" s="55"/>
      <c r="AC445" s="57" t="str">
        <f t="shared" si="44"/>
        <v/>
      </c>
      <c r="AD445" s="57" t="str">
        <f t="shared" si="45"/>
        <v/>
      </c>
      <c r="AE445" s="57" t="str">
        <f xml:space="preserve">
IF(OR('Dados da OS'!$D$8=Parâmetros!$B$3,'Dados da OS'!$D$8=Parâmetros!$B$4),
  IF(OR(ISBLANK(X445),ISBLANK(Z445)),
     IF(OR(V445="ALI",V445="AIE"),"L",IF(ISBLANK(V445),"","A")),
     IF(V445="EE",IF(Z445&gt;=3,IF(X445&gt;=5,"H","A"),
     IF(Z445&gt;=2,IF(X445&gt;=16,"H",IF(X445&lt;=4,"L","A")),IF(X445&lt;=15,"L","A"))),
     IF(OR(V445="SE",V445="CE"),IF(Z445&gt;=4,IF(X445&gt;=6,"H","A"),IF(Z445&gt;=2,IF(X445&gt;=20,"H",IF(X445&lt;=5,"L","A")),IF(X445&lt;=19,"L","A"))),
     IF(OR(V445="ALI",V445="AIE"),IF(Z445&gt;=6,IF(X445&gt;=20,"H","A"),IF(Z445&gt;=2,IF(X445&gt;=51,"H",IF(X445&lt;=19,"L","A")),IF(X445&lt;=50,"L","A"))))))),
IF('Dados da OS'!$D$8=Parâmetros!$B$6,"Indicativa",
IF('Dados da OS'!$D$8=Parâmetros!$B$5,"PFS","")))</f>
        <v/>
      </c>
      <c r="AF445" s="57">
        <f>IFERROR(VLOOKUP(W445,'Fatores de Impacto e INMs'!$A$3:$D$32,3,0),1)</f>
        <v>1</v>
      </c>
      <c r="AG445" s="57">
        <f>IFERROR(VLOOKUP(W445,'Fatores de Impacto e INMs'!$A$3:$E$32,5,0),1)</f>
        <v>1</v>
      </c>
      <c r="AH445" s="82" t="str">
        <f xml:space="preserve">
IF(OR('Dados da OS'!$D$8="Selecione o tipo da contagem",ISBLANK('Dados da OS'!$D$8),V445="INM",V445="N/A",ISBLANK(V445),ISBLANK(W445),AG445="VF"),"-",
   IF('Dados da OS'!$D$8=Parâmetros!$B$3,
      IF(OR(ISBLANK(X445),ISBLANK(Z445)),"-",
         IF(AE445="L","Baixa",IF(AE445="A","Média",IF(AE445="H","Alta","-")))),
      IF('Dados da OS'!$D$8=Parâmetros!$B$4,
         IF(OR(V445="ALI",V445="AIE"),"Baixa",IF(OR(V445="EE",V445="SE",V445="CE"),"Média","-")),
         IF(OR('Dados da OS'!$D$8=Parâmetros!$B$5,'Dados da OS'!$D$8=Parâmetros!$B$6),"-"))))</f>
        <v>-</v>
      </c>
      <c r="AI445" s="83" t="str">
        <f xml:space="preserve">
IF(OR(ISBLANK(V445),ISBLANK(U445),ISBLANK(W445),V445="N/A",ISBLANK('Dados da OS'!$D$8)),"",
   IF(OR('Dados da OS'!$D$8=Parâmetros!$B$3,'Dados da OS'!$D$8=Parâmetros!$B$4),
      IF(OR(AND(V445="INM",AG445&lt;&gt;"VF"),AND(AG445="VF",V445&lt;&gt;"INM")),"",
        IF(AND(V445="INM",AG445="VF"),IF(ISBLANK(AB445),"",AF445*AB445),
        IF('Dados da OS'!$D$8=Parâmetros!$B$4,
           IF(OR(V445="CE",V445="EE"),4,IF(V445="SE",5,IF(V445="ALI",7,IF(V445="AIE",5,"")))),
        IF('Dados da OS'!$D$8=Parâmetros!$B$3,
           IF(OR(ISBLANK(X445),ISBLANK(Z445)),"",
              IF(V445="ALI",IF(AE445="L",7,IF(AE445="A",10,15)),
                 IF(V445="AIE",IF(AE445="L",5,IF(AE445="A",7,10)),
                    IF(V445="SE",IF(AE445="L",4,IF(AE445="A",5,7)),
                       IF(OR(V445="EE",V445="CE"),IF(AE445="L",3,IF(AE445="A",4,6)),""))))))))),
   IF('Dados da OS'!$D$8=Parâmetros!$B$5,
      IF(OR(AND(V445="INM",AG445&lt;&gt;"VF"),AND(AG445="VF",V445&lt;&gt;"INM")),"",
         IF(V445="INM",IF(AG445="VF",AF445*AB445,""),
            IF(V445="PE",4.6,
            IF(V445="AL",7,"")))),
   IF('Dados da OS'!$D$8=Parâmetros!$B$6,
      IF(V445="ALI",35,IF(V445="AIE",15,"")),""))
    )
)</f>
        <v/>
      </c>
      <c r="AJ445" s="82" t="str">
        <f t="shared" si="46"/>
        <v/>
      </c>
      <c r="AK445" s="84"/>
      <c r="AL445" s="85" t="s">
        <v>21</v>
      </c>
      <c r="AM445" s="86"/>
      <c r="AN445" s="85"/>
      <c r="AO445" s="87"/>
      <c r="AP445" s="85"/>
      <c r="AQ445" s="86"/>
      <c r="AR445" s="85"/>
    </row>
    <row r="446" spans="1:44" ht="15.75" customHeight="1">
      <c r="A446" s="54"/>
      <c r="B446" s="100"/>
      <c r="C446" s="55"/>
      <c r="D446" s="55"/>
      <c r="E446" s="56"/>
      <c r="F446" s="55"/>
      <c r="G446" s="56"/>
      <c r="H446" s="55"/>
      <c r="I446" s="64"/>
      <c r="J446" s="57" t="str">
        <f t="shared" si="47"/>
        <v/>
      </c>
      <c r="K446" s="57" t="str">
        <f t="shared" si="48"/>
        <v/>
      </c>
      <c r="L446" s="57" t="str">
        <f xml:space="preserve">
IF(OR('Dados da OS'!$D$8=Parâmetros!$B$3,'Dados da OS'!$D$8=Parâmetros!$B$4),
  IF(OR(ISBLANK(D446),ISBLANK(F446)),
     IF(OR(B446="ALI",B446="AIE"),"L",IF(ISBLANK(B446),"","A")),
     IF(B446="EE",IF(F446&gt;=3,IF(D446&gt;=5,"H","A"),
     IF(F446&gt;=2,IF(D446&gt;=16,"H",IF(D446&lt;=4,"L","A")),IF(D446&lt;=15,"L","A"))),
     IF(OR(B446="SE",B446="CE"),IF(F446&gt;=4,IF(D446&gt;=6,"H","A"),IF(F446&gt;=2,IF(D446&gt;=20,"H",IF(D446&lt;=5,"L","A")),IF(D446&lt;=19,"L","A"))),
     IF(OR(B446="ALI",B446="AIE"),IF(F446&gt;=6,IF(D446&gt;=20,"H","A"),IF(F446&gt;=2,IF(D446&gt;=51,"H",IF(D446&lt;=19,"L","A")),IF(D446&lt;=50,"L","A"))))))),
IF('Dados da OS'!$D$8=Parâmetros!$B$6,"Indicativa",
IF('Dados da OS'!$D$8=Parâmetros!$B$5,"PFS","")))</f>
        <v/>
      </c>
      <c r="M446" s="57">
        <f>IFERROR(VLOOKUP(C446,'Fatores de Impacto e INMs'!$A$3:$D$32,3,0),1)</f>
        <v>1</v>
      </c>
      <c r="N446" s="57">
        <f>IFERROR(VLOOKUP(C446,'Fatores de Impacto e INMs'!$A$3:$E$32,5,0),1)</f>
        <v>1</v>
      </c>
      <c r="O446" s="63" t="str">
        <f xml:space="preserve">
IF(OR('Dados da OS'!$D$8="Selecione o tipo da contagem",ISBLANK('Dados da OS'!$D$8),B446="INM",B446="N/A",ISBLANK(B446),ISBLANK(C446),N446="VF"),"-",
   IF('Dados da OS'!$D$8=Parâmetros!$B$3,
      IF(OR(ISBLANK(D446),ISBLANK(F446)),"-",
         IF(L446="L","Baixa",IF(L446="A","Média",IF(L446="H","Alta","-")))),
      IF('Dados da OS'!$D$8=Parâmetros!$B$4,
         IF(OR(B446="ALI",B446="AIE"),"Baixa",IF(OR(B446="EE",B446="SE",B446="CE"),"Média","-")),
         IF(OR('Dados da OS'!$D$8=Parâmetros!$B$5,'Dados da OS'!$D$8=Parâmetros!$B$6),"-"))))</f>
        <v>-</v>
      </c>
      <c r="P446" s="59" t="str">
        <f xml:space="preserve">
IF(OR(ISBLANK(B446),ISBLANK(C446),B446="N/A",ISBLANK('Dados da OS'!$D$8)),"",
   IF(OR('Dados da OS'!$D$8=Parâmetros!$B$3,'Dados da OS'!$D$8=Parâmetros!$B$4),
      IF(OR(AND(B446="INM",N446&lt;&gt;"VF"),AND(N446="VF",B446&lt;&gt;"INM")),"",
        IF(AND(B446="INM",N446="VF"),IF(ISBLANK(H446),"",M446*H446),
        IF('Dados da OS'!$D$8=Parâmetros!$B$4,
           IF(OR(B446="CE",B446="EE"),4,IF(B446="SE",5,IF(B446="ALI",7,IF(B446="AIE",5,"")))),
        IF('Dados da OS'!$D$8=Parâmetros!$B$3,
           IF(OR(ISBLANK(D446),ISBLANK(F446)),"",
              IF(B446="ALI",IF(L446="L",7,IF(L446="A",10,15)),
                 IF(B446="AIE",IF(L446="L",5,IF(L446="A",7,10)),
                    IF(B446="SE",IF(L446="L",4,IF(L446="A",5,7)),
                       IF(OR(B446="EE",B446="CE"),IF(L446="L",3,IF(L446="A",4,6)),""))))))))),
   IF('Dados da OS'!$D$8=Parâmetros!$B$5,
      IF(OR(AND(B446="INM",N446&lt;&gt;"VF"),AND(N446="VF",B446&lt;&gt;"INM")),"",
         IF(B446="INM",IF(N446="VF",M446*H446,""),
            IF(B446="PE",4.6,
            IF(B446="AL",7,"")))),
   IF('Dados da OS'!$D$8=Parâmetros!$B$6,
      IF(B446="ALI",35,IF(B446="AIE",15,"")),""))
    )
)</f>
        <v/>
      </c>
      <c r="Q446" s="60" t="str">
        <f t="shared" si="43"/>
        <v/>
      </c>
      <c r="R446" s="61"/>
      <c r="S446" s="62"/>
      <c r="T446" s="80" t="s">
        <v>21</v>
      </c>
      <c r="U446" s="81"/>
      <c r="V446" s="99"/>
      <c r="W446" s="55"/>
      <c r="X446" s="55"/>
      <c r="Y446" s="56"/>
      <c r="Z446" s="55"/>
      <c r="AA446" s="56"/>
      <c r="AB446" s="55"/>
      <c r="AC446" s="57" t="str">
        <f t="shared" si="44"/>
        <v/>
      </c>
      <c r="AD446" s="57" t="str">
        <f t="shared" si="45"/>
        <v/>
      </c>
      <c r="AE446" s="57" t="str">
        <f xml:space="preserve">
IF(OR('Dados da OS'!$D$8=Parâmetros!$B$3,'Dados da OS'!$D$8=Parâmetros!$B$4),
  IF(OR(ISBLANK(X446),ISBLANK(Z446)),
     IF(OR(V446="ALI",V446="AIE"),"L",IF(ISBLANK(V446),"","A")),
     IF(V446="EE",IF(Z446&gt;=3,IF(X446&gt;=5,"H","A"),
     IF(Z446&gt;=2,IF(X446&gt;=16,"H",IF(X446&lt;=4,"L","A")),IF(X446&lt;=15,"L","A"))),
     IF(OR(V446="SE",V446="CE"),IF(Z446&gt;=4,IF(X446&gt;=6,"H","A"),IF(Z446&gt;=2,IF(X446&gt;=20,"H",IF(X446&lt;=5,"L","A")),IF(X446&lt;=19,"L","A"))),
     IF(OR(V446="ALI",V446="AIE"),IF(Z446&gt;=6,IF(X446&gt;=20,"H","A"),IF(Z446&gt;=2,IF(X446&gt;=51,"H",IF(X446&lt;=19,"L","A")),IF(X446&lt;=50,"L","A"))))))),
IF('Dados da OS'!$D$8=Parâmetros!$B$6,"Indicativa",
IF('Dados da OS'!$D$8=Parâmetros!$B$5,"PFS","")))</f>
        <v/>
      </c>
      <c r="AF446" s="57">
        <f>IFERROR(VLOOKUP(W446,'Fatores de Impacto e INMs'!$A$3:$D$32,3,0),1)</f>
        <v>1</v>
      </c>
      <c r="AG446" s="57">
        <f>IFERROR(VLOOKUP(W446,'Fatores de Impacto e INMs'!$A$3:$E$32,5,0),1)</f>
        <v>1</v>
      </c>
      <c r="AH446" s="82" t="str">
        <f xml:space="preserve">
IF(OR('Dados da OS'!$D$8="Selecione o tipo da contagem",ISBLANK('Dados da OS'!$D$8),V446="INM",V446="N/A",ISBLANK(V446),ISBLANK(W446),AG446="VF"),"-",
   IF('Dados da OS'!$D$8=Parâmetros!$B$3,
      IF(OR(ISBLANK(X446),ISBLANK(Z446)),"-",
         IF(AE446="L","Baixa",IF(AE446="A","Média",IF(AE446="H","Alta","-")))),
      IF('Dados da OS'!$D$8=Parâmetros!$B$4,
         IF(OR(V446="ALI",V446="AIE"),"Baixa",IF(OR(V446="EE",V446="SE",V446="CE"),"Média","-")),
         IF(OR('Dados da OS'!$D$8=Parâmetros!$B$5,'Dados da OS'!$D$8=Parâmetros!$B$6),"-"))))</f>
        <v>-</v>
      </c>
      <c r="AI446" s="83" t="str">
        <f xml:space="preserve">
IF(OR(ISBLANK(V446),ISBLANK(U446),ISBLANK(W446),V446="N/A",ISBLANK('Dados da OS'!$D$8)),"",
   IF(OR('Dados da OS'!$D$8=Parâmetros!$B$3,'Dados da OS'!$D$8=Parâmetros!$B$4),
      IF(OR(AND(V446="INM",AG446&lt;&gt;"VF"),AND(AG446="VF",V446&lt;&gt;"INM")),"",
        IF(AND(V446="INM",AG446="VF"),IF(ISBLANK(AB446),"",AF446*AB446),
        IF('Dados da OS'!$D$8=Parâmetros!$B$4,
           IF(OR(V446="CE",V446="EE"),4,IF(V446="SE",5,IF(V446="ALI",7,IF(V446="AIE",5,"")))),
        IF('Dados da OS'!$D$8=Parâmetros!$B$3,
           IF(OR(ISBLANK(X446),ISBLANK(Z446)),"",
              IF(V446="ALI",IF(AE446="L",7,IF(AE446="A",10,15)),
                 IF(V446="AIE",IF(AE446="L",5,IF(AE446="A",7,10)),
                    IF(V446="SE",IF(AE446="L",4,IF(AE446="A",5,7)),
                       IF(OR(V446="EE",V446="CE"),IF(AE446="L",3,IF(AE446="A",4,6)),""))))))))),
   IF('Dados da OS'!$D$8=Parâmetros!$B$5,
      IF(OR(AND(V446="INM",AG446&lt;&gt;"VF"),AND(AG446="VF",V446&lt;&gt;"INM")),"",
         IF(V446="INM",IF(AG446="VF",AF446*AB446,""),
            IF(V446="PE",4.6,
            IF(V446="AL",7,"")))),
   IF('Dados da OS'!$D$8=Parâmetros!$B$6,
      IF(V446="ALI",35,IF(V446="AIE",15,"")),""))
    )
)</f>
        <v/>
      </c>
      <c r="AJ446" s="82" t="str">
        <f t="shared" si="46"/>
        <v/>
      </c>
      <c r="AK446" s="84"/>
      <c r="AL446" s="85" t="s">
        <v>21</v>
      </c>
      <c r="AM446" s="86"/>
      <c r="AN446" s="85"/>
      <c r="AO446" s="87"/>
      <c r="AP446" s="85"/>
      <c r="AQ446" s="86"/>
      <c r="AR446" s="85"/>
    </row>
    <row r="447" spans="1:44" ht="15.75" customHeight="1">
      <c r="A447" s="54"/>
      <c r="B447" s="100"/>
      <c r="C447" s="55"/>
      <c r="D447" s="55"/>
      <c r="E447" s="56"/>
      <c r="F447" s="55"/>
      <c r="G447" s="56"/>
      <c r="H447" s="55"/>
      <c r="I447" s="64"/>
      <c r="J447" s="57" t="str">
        <f t="shared" si="47"/>
        <v/>
      </c>
      <c r="K447" s="57" t="str">
        <f t="shared" si="48"/>
        <v/>
      </c>
      <c r="L447" s="57" t="str">
        <f xml:space="preserve">
IF(OR('Dados da OS'!$D$8=Parâmetros!$B$3,'Dados da OS'!$D$8=Parâmetros!$B$4),
  IF(OR(ISBLANK(D447),ISBLANK(F447)),
     IF(OR(B447="ALI",B447="AIE"),"L",IF(ISBLANK(B447),"","A")),
     IF(B447="EE",IF(F447&gt;=3,IF(D447&gt;=5,"H","A"),
     IF(F447&gt;=2,IF(D447&gt;=16,"H",IF(D447&lt;=4,"L","A")),IF(D447&lt;=15,"L","A"))),
     IF(OR(B447="SE",B447="CE"),IF(F447&gt;=4,IF(D447&gt;=6,"H","A"),IF(F447&gt;=2,IF(D447&gt;=20,"H",IF(D447&lt;=5,"L","A")),IF(D447&lt;=19,"L","A"))),
     IF(OR(B447="ALI",B447="AIE"),IF(F447&gt;=6,IF(D447&gt;=20,"H","A"),IF(F447&gt;=2,IF(D447&gt;=51,"H",IF(D447&lt;=19,"L","A")),IF(D447&lt;=50,"L","A"))))))),
IF('Dados da OS'!$D$8=Parâmetros!$B$6,"Indicativa",
IF('Dados da OS'!$D$8=Parâmetros!$B$5,"PFS","")))</f>
        <v/>
      </c>
      <c r="M447" s="57">
        <f>IFERROR(VLOOKUP(C447,'Fatores de Impacto e INMs'!$A$3:$D$32,3,0),1)</f>
        <v>1</v>
      </c>
      <c r="N447" s="57">
        <f>IFERROR(VLOOKUP(C447,'Fatores de Impacto e INMs'!$A$3:$E$32,5,0),1)</f>
        <v>1</v>
      </c>
      <c r="O447" s="63" t="str">
        <f xml:space="preserve">
IF(OR('Dados da OS'!$D$8="Selecione o tipo da contagem",ISBLANK('Dados da OS'!$D$8),B447="INM",B447="N/A",ISBLANK(B447),ISBLANK(C447),N447="VF"),"-",
   IF('Dados da OS'!$D$8=Parâmetros!$B$3,
      IF(OR(ISBLANK(D447),ISBLANK(F447)),"-",
         IF(L447="L","Baixa",IF(L447="A","Média",IF(L447="H","Alta","-")))),
      IF('Dados da OS'!$D$8=Parâmetros!$B$4,
         IF(OR(B447="ALI",B447="AIE"),"Baixa",IF(OR(B447="EE",B447="SE",B447="CE"),"Média","-")),
         IF(OR('Dados da OS'!$D$8=Parâmetros!$B$5,'Dados da OS'!$D$8=Parâmetros!$B$6),"-"))))</f>
        <v>-</v>
      </c>
      <c r="P447" s="59" t="str">
        <f xml:space="preserve">
IF(OR(ISBLANK(B447),ISBLANK(C447),B447="N/A",ISBLANK('Dados da OS'!$D$8)),"",
   IF(OR('Dados da OS'!$D$8=Parâmetros!$B$3,'Dados da OS'!$D$8=Parâmetros!$B$4),
      IF(OR(AND(B447="INM",N447&lt;&gt;"VF"),AND(N447="VF",B447&lt;&gt;"INM")),"",
        IF(AND(B447="INM",N447="VF"),IF(ISBLANK(H447),"",M447*H447),
        IF('Dados da OS'!$D$8=Parâmetros!$B$4,
           IF(OR(B447="CE",B447="EE"),4,IF(B447="SE",5,IF(B447="ALI",7,IF(B447="AIE",5,"")))),
        IF('Dados da OS'!$D$8=Parâmetros!$B$3,
           IF(OR(ISBLANK(D447),ISBLANK(F447)),"",
              IF(B447="ALI",IF(L447="L",7,IF(L447="A",10,15)),
                 IF(B447="AIE",IF(L447="L",5,IF(L447="A",7,10)),
                    IF(B447="SE",IF(L447="L",4,IF(L447="A",5,7)),
                       IF(OR(B447="EE",B447="CE"),IF(L447="L",3,IF(L447="A",4,6)),""))))))))),
   IF('Dados da OS'!$D$8=Parâmetros!$B$5,
      IF(OR(AND(B447="INM",N447&lt;&gt;"VF"),AND(N447="VF",B447&lt;&gt;"INM")),"",
         IF(B447="INM",IF(N447="VF",M447*H447,""),
            IF(B447="PE",4.6,
            IF(B447="AL",7,"")))),
   IF('Dados da OS'!$D$8=Parâmetros!$B$6,
      IF(B447="ALI",35,IF(B447="AIE",15,"")),""))
    )
)</f>
        <v/>
      </c>
      <c r="Q447" s="60" t="str">
        <f t="shared" si="43"/>
        <v/>
      </c>
      <c r="R447" s="61"/>
      <c r="S447" s="62"/>
      <c r="T447" s="80" t="s">
        <v>21</v>
      </c>
      <c r="U447" s="81"/>
      <c r="V447" s="99"/>
      <c r="W447" s="55"/>
      <c r="X447" s="55"/>
      <c r="Y447" s="56"/>
      <c r="Z447" s="55"/>
      <c r="AA447" s="56"/>
      <c r="AB447" s="55"/>
      <c r="AC447" s="57" t="str">
        <f t="shared" si="44"/>
        <v/>
      </c>
      <c r="AD447" s="57" t="str">
        <f t="shared" si="45"/>
        <v/>
      </c>
      <c r="AE447" s="57" t="str">
        <f xml:space="preserve">
IF(OR('Dados da OS'!$D$8=Parâmetros!$B$3,'Dados da OS'!$D$8=Parâmetros!$B$4),
  IF(OR(ISBLANK(X447),ISBLANK(Z447)),
     IF(OR(V447="ALI",V447="AIE"),"L",IF(ISBLANK(V447),"","A")),
     IF(V447="EE",IF(Z447&gt;=3,IF(X447&gt;=5,"H","A"),
     IF(Z447&gt;=2,IF(X447&gt;=16,"H",IF(X447&lt;=4,"L","A")),IF(X447&lt;=15,"L","A"))),
     IF(OR(V447="SE",V447="CE"),IF(Z447&gt;=4,IF(X447&gt;=6,"H","A"),IF(Z447&gt;=2,IF(X447&gt;=20,"H",IF(X447&lt;=5,"L","A")),IF(X447&lt;=19,"L","A"))),
     IF(OR(V447="ALI",V447="AIE"),IF(Z447&gt;=6,IF(X447&gt;=20,"H","A"),IF(Z447&gt;=2,IF(X447&gt;=51,"H",IF(X447&lt;=19,"L","A")),IF(X447&lt;=50,"L","A"))))))),
IF('Dados da OS'!$D$8=Parâmetros!$B$6,"Indicativa",
IF('Dados da OS'!$D$8=Parâmetros!$B$5,"PFS","")))</f>
        <v/>
      </c>
      <c r="AF447" s="57">
        <f>IFERROR(VLOOKUP(W447,'Fatores de Impacto e INMs'!$A$3:$D$32,3,0),1)</f>
        <v>1</v>
      </c>
      <c r="AG447" s="57">
        <f>IFERROR(VLOOKUP(W447,'Fatores de Impacto e INMs'!$A$3:$E$32,5,0),1)</f>
        <v>1</v>
      </c>
      <c r="AH447" s="82" t="str">
        <f xml:space="preserve">
IF(OR('Dados da OS'!$D$8="Selecione o tipo da contagem",ISBLANK('Dados da OS'!$D$8),V447="INM",V447="N/A",ISBLANK(V447),ISBLANK(W447),AG447="VF"),"-",
   IF('Dados da OS'!$D$8=Parâmetros!$B$3,
      IF(OR(ISBLANK(X447),ISBLANK(Z447)),"-",
         IF(AE447="L","Baixa",IF(AE447="A","Média",IF(AE447="H","Alta","-")))),
      IF('Dados da OS'!$D$8=Parâmetros!$B$4,
         IF(OR(V447="ALI",V447="AIE"),"Baixa",IF(OR(V447="EE",V447="SE",V447="CE"),"Média","-")),
         IF(OR('Dados da OS'!$D$8=Parâmetros!$B$5,'Dados da OS'!$D$8=Parâmetros!$B$6),"-"))))</f>
        <v>-</v>
      </c>
      <c r="AI447" s="83" t="str">
        <f xml:space="preserve">
IF(OR(ISBLANK(V447),ISBLANK(U447),ISBLANK(W447),V447="N/A",ISBLANK('Dados da OS'!$D$8)),"",
   IF(OR('Dados da OS'!$D$8=Parâmetros!$B$3,'Dados da OS'!$D$8=Parâmetros!$B$4),
      IF(OR(AND(V447="INM",AG447&lt;&gt;"VF"),AND(AG447="VF",V447&lt;&gt;"INM")),"",
        IF(AND(V447="INM",AG447="VF"),IF(ISBLANK(AB447),"",AF447*AB447),
        IF('Dados da OS'!$D$8=Parâmetros!$B$4,
           IF(OR(V447="CE",V447="EE"),4,IF(V447="SE",5,IF(V447="ALI",7,IF(V447="AIE",5,"")))),
        IF('Dados da OS'!$D$8=Parâmetros!$B$3,
           IF(OR(ISBLANK(X447),ISBLANK(Z447)),"",
              IF(V447="ALI",IF(AE447="L",7,IF(AE447="A",10,15)),
                 IF(V447="AIE",IF(AE447="L",5,IF(AE447="A",7,10)),
                    IF(V447="SE",IF(AE447="L",4,IF(AE447="A",5,7)),
                       IF(OR(V447="EE",V447="CE"),IF(AE447="L",3,IF(AE447="A",4,6)),""))))))))),
   IF('Dados da OS'!$D$8=Parâmetros!$B$5,
      IF(OR(AND(V447="INM",AG447&lt;&gt;"VF"),AND(AG447="VF",V447&lt;&gt;"INM")),"",
         IF(V447="INM",IF(AG447="VF",AF447*AB447,""),
            IF(V447="PE",4.6,
            IF(V447="AL",7,"")))),
   IF('Dados da OS'!$D$8=Parâmetros!$B$6,
      IF(V447="ALI",35,IF(V447="AIE",15,"")),""))
    )
)</f>
        <v/>
      </c>
      <c r="AJ447" s="82" t="str">
        <f t="shared" si="46"/>
        <v/>
      </c>
      <c r="AK447" s="84"/>
      <c r="AL447" s="85" t="s">
        <v>21</v>
      </c>
      <c r="AM447" s="86"/>
      <c r="AN447" s="85"/>
      <c r="AO447" s="87"/>
      <c r="AP447" s="85"/>
      <c r="AQ447" s="86"/>
      <c r="AR447" s="85"/>
    </row>
    <row r="448" spans="1:44" ht="15.75" customHeight="1">
      <c r="A448" s="54"/>
      <c r="B448" s="100"/>
      <c r="C448" s="55"/>
      <c r="D448" s="55"/>
      <c r="E448" s="56"/>
      <c r="F448" s="55"/>
      <c r="G448" s="56"/>
      <c r="H448" s="55"/>
      <c r="I448" s="64"/>
      <c r="J448" s="57" t="str">
        <f t="shared" si="47"/>
        <v/>
      </c>
      <c r="K448" s="57" t="str">
        <f t="shared" si="48"/>
        <v/>
      </c>
      <c r="L448" s="57" t="str">
        <f xml:space="preserve">
IF(OR('Dados da OS'!$D$8=Parâmetros!$B$3,'Dados da OS'!$D$8=Parâmetros!$B$4),
  IF(OR(ISBLANK(D448),ISBLANK(F448)),
     IF(OR(B448="ALI",B448="AIE"),"L",IF(ISBLANK(B448),"","A")),
     IF(B448="EE",IF(F448&gt;=3,IF(D448&gt;=5,"H","A"),
     IF(F448&gt;=2,IF(D448&gt;=16,"H",IF(D448&lt;=4,"L","A")),IF(D448&lt;=15,"L","A"))),
     IF(OR(B448="SE",B448="CE"),IF(F448&gt;=4,IF(D448&gt;=6,"H","A"),IF(F448&gt;=2,IF(D448&gt;=20,"H",IF(D448&lt;=5,"L","A")),IF(D448&lt;=19,"L","A"))),
     IF(OR(B448="ALI",B448="AIE"),IF(F448&gt;=6,IF(D448&gt;=20,"H","A"),IF(F448&gt;=2,IF(D448&gt;=51,"H",IF(D448&lt;=19,"L","A")),IF(D448&lt;=50,"L","A"))))))),
IF('Dados da OS'!$D$8=Parâmetros!$B$6,"Indicativa",
IF('Dados da OS'!$D$8=Parâmetros!$B$5,"PFS","")))</f>
        <v/>
      </c>
      <c r="M448" s="57">
        <f>IFERROR(VLOOKUP(C448,'Fatores de Impacto e INMs'!$A$3:$D$32,3,0),1)</f>
        <v>1</v>
      </c>
      <c r="N448" s="57">
        <f>IFERROR(VLOOKUP(C448,'Fatores de Impacto e INMs'!$A$3:$E$32,5,0),1)</f>
        <v>1</v>
      </c>
      <c r="O448" s="63" t="str">
        <f xml:space="preserve">
IF(OR('Dados da OS'!$D$8="Selecione o tipo da contagem",ISBLANK('Dados da OS'!$D$8),B448="INM",B448="N/A",ISBLANK(B448),ISBLANK(C448),N448="VF"),"-",
   IF('Dados da OS'!$D$8=Parâmetros!$B$3,
      IF(OR(ISBLANK(D448),ISBLANK(F448)),"-",
         IF(L448="L","Baixa",IF(L448="A","Média",IF(L448="H","Alta","-")))),
      IF('Dados da OS'!$D$8=Parâmetros!$B$4,
         IF(OR(B448="ALI",B448="AIE"),"Baixa",IF(OR(B448="EE",B448="SE",B448="CE"),"Média","-")),
         IF(OR('Dados da OS'!$D$8=Parâmetros!$B$5,'Dados da OS'!$D$8=Parâmetros!$B$6),"-"))))</f>
        <v>-</v>
      </c>
      <c r="P448" s="59" t="str">
        <f xml:space="preserve">
IF(OR(ISBLANK(B448),ISBLANK(C448),B448="N/A",ISBLANK('Dados da OS'!$D$8)),"",
   IF(OR('Dados da OS'!$D$8=Parâmetros!$B$3,'Dados da OS'!$D$8=Parâmetros!$B$4),
      IF(OR(AND(B448="INM",N448&lt;&gt;"VF"),AND(N448="VF",B448&lt;&gt;"INM")),"",
        IF(AND(B448="INM",N448="VF"),IF(ISBLANK(H448),"",M448*H448),
        IF('Dados da OS'!$D$8=Parâmetros!$B$4,
           IF(OR(B448="CE",B448="EE"),4,IF(B448="SE",5,IF(B448="ALI",7,IF(B448="AIE",5,"")))),
        IF('Dados da OS'!$D$8=Parâmetros!$B$3,
           IF(OR(ISBLANK(D448),ISBLANK(F448)),"",
              IF(B448="ALI",IF(L448="L",7,IF(L448="A",10,15)),
                 IF(B448="AIE",IF(L448="L",5,IF(L448="A",7,10)),
                    IF(B448="SE",IF(L448="L",4,IF(L448="A",5,7)),
                       IF(OR(B448="EE",B448="CE"),IF(L448="L",3,IF(L448="A",4,6)),""))))))))),
   IF('Dados da OS'!$D$8=Parâmetros!$B$5,
      IF(OR(AND(B448="INM",N448&lt;&gt;"VF"),AND(N448="VF",B448&lt;&gt;"INM")),"",
         IF(B448="INM",IF(N448="VF",M448*H448,""),
            IF(B448="PE",4.6,
            IF(B448="AL",7,"")))),
   IF('Dados da OS'!$D$8=Parâmetros!$B$6,
      IF(B448="ALI",35,IF(B448="AIE",15,"")),""))
    )
)</f>
        <v/>
      </c>
      <c r="Q448" s="60" t="str">
        <f t="shared" si="43"/>
        <v/>
      </c>
      <c r="R448" s="61"/>
      <c r="S448" s="62"/>
      <c r="T448" s="80" t="s">
        <v>21</v>
      </c>
      <c r="U448" s="81"/>
      <c r="V448" s="99"/>
      <c r="W448" s="55"/>
      <c r="X448" s="55"/>
      <c r="Y448" s="56"/>
      <c r="Z448" s="55"/>
      <c r="AA448" s="56"/>
      <c r="AB448" s="55"/>
      <c r="AC448" s="57" t="str">
        <f t="shared" si="44"/>
        <v/>
      </c>
      <c r="AD448" s="57" t="str">
        <f t="shared" si="45"/>
        <v/>
      </c>
      <c r="AE448" s="57" t="str">
        <f xml:space="preserve">
IF(OR('Dados da OS'!$D$8=Parâmetros!$B$3,'Dados da OS'!$D$8=Parâmetros!$B$4),
  IF(OR(ISBLANK(X448),ISBLANK(Z448)),
     IF(OR(V448="ALI",V448="AIE"),"L",IF(ISBLANK(V448),"","A")),
     IF(V448="EE",IF(Z448&gt;=3,IF(X448&gt;=5,"H","A"),
     IF(Z448&gt;=2,IF(X448&gt;=16,"H",IF(X448&lt;=4,"L","A")),IF(X448&lt;=15,"L","A"))),
     IF(OR(V448="SE",V448="CE"),IF(Z448&gt;=4,IF(X448&gt;=6,"H","A"),IF(Z448&gt;=2,IF(X448&gt;=20,"H",IF(X448&lt;=5,"L","A")),IF(X448&lt;=19,"L","A"))),
     IF(OR(V448="ALI",V448="AIE"),IF(Z448&gt;=6,IF(X448&gt;=20,"H","A"),IF(Z448&gt;=2,IF(X448&gt;=51,"H",IF(X448&lt;=19,"L","A")),IF(X448&lt;=50,"L","A"))))))),
IF('Dados da OS'!$D$8=Parâmetros!$B$6,"Indicativa",
IF('Dados da OS'!$D$8=Parâmetros!$B$5,"PFS","")))</f>
        <v/>
      </c>
      <c r="AF448" s="57">
        <f>IFERROR(VLOOKUP(W448,'Fatores de Impacto e INMs'!$A$3:$D$32,3,0),1)</f>
        <v>1</v>
      </c>
      <c r="AG448" s="57">
        <f>IFERROR(VLOOKUP(W448,'Fatores de Impacto e INMs'!$A$3:$E$32,5,0),1)</f>
        <v>1</v>
      </c>
      <c r="AH448" s="82" t="str">
        <f xml:space="preserve">
IF(OR('Dados da OS'!$D$8="Selecione o tipo da contagem",ISBLANK('Dados da OS'!$D$8),V448="INM",V448="N/A",ISBLANK(V448),ISBLANK(W448),AG448="VF"),"-",
   IF('Dados da OS'!$D$8=Parâmetros!$B$3,
      IF(OR(ISBLANK(X448),ISBLANK(Z448)),"-",
         IF(AE448="L","Baixa",IF(AE448="A","Média",IF(AE448="H","Alta","-")))),
      IF('Dados da OS'!$D$8=Parâmetros!$B$4,
         IF(OR(V448="ALI",V448="AIE"),"Baixa",IF(OR(V448="EE",V448="SE",V448="CE"),"Média","-")),
         IF(OR('Dados da OS'!$D$8=Parâmetros!$B$5,'Dados da OS'!$D$8=Parâmetros!$B$6),"-"))))</f>
        <v>-</v>
      </c>
      <c r="AI448" s="83" t="str">
        <f xml:space="preserve">
IF(OR(ISBLANK(V448),ISBLANK(U448),ISBLANK(W448),V448="N/A",ISBLANK('Dados da OS'!$D$8)),"",
   IF(OR('Dados da OS'!$D$8=Parâmetros!$B$3,'Dados da OS'!$D$8=Parâmetros!$B$4),
      IF(OR(AND(V448="INM",AG448&lt;&gt;"VF"),AND(AG448="VF",V448&lt;&gt;"INM")),"",
        IF(AND(V448="INM",AG448="VF"),IF(ISBLANK(AB448),"",AF448*AB448),
        IF('Dados da OS'!$D$8=Parâmetros!$B$4,
           IF(OR(V448="CE",V448="EE"),4,IF(V448="SE",5,IF(V448="ALI",7,IF(V448="AIE",5,"")))),
        IF('Dados da OS'!$D$8=Parâmetros!$B$3,
           IF(OR(ISBLANK(X448),ISBLANK(Z448)),"",
              IF(V448="ALI",IF(AE448="L",7,IF(AE448="A",10,15)),
                 IF(V448="AIE",IF(AE448="L",5,IF(AE448="A",7,10)),
                    IF(V448="SE",IF(AE448="L",4,IF(AE448="A",5,7)),
                       IF(OR(V448="EE",V448="CE"),IF(AE448="L",3,IF(AE448="A",4,6)),""))))))))),
   IF('Dados da OS'!$D$8=Parâmetros!$B$5,
      IF(OR(AND(V448="INM",AG448&lt;&gt;"VF"),AND(AG448="VF",V448&lt;&gt;"INM")),"",
         IF(V448="INM",IF(AG448="VF",AF448*AB448,""),
            IF(V448="PE",4.6,
            IF(V448="AL",7,"")))),
   IF('Dados da OS'!$D$8=Parâmetros!$B$6,
      IF(V448="ALI",35,IF(V448="AIE",15,"")),""))
    )
)</f>
        <v/>
      </c>
      <c r="AJ448" s="82" t="str">
        <f t="shared" si="46"/>
        <v/>
      </c>
      <c r="AK448" s="84"/>
      <c r="AL448" s="85" t="s">
        <v>21</v>
      </c>
      <c r="AM448" s="86"/>
      <c r="AN448" s="85"/>
      <c r="AO448" s="87"/>
      <c r="AP448" s="85"/>
      <c r="AQ448" s="86"/>
      <c r="AR448" s="85"/>
    </row>
    <row r="449" spans="1:44" ht="15.75" customHeight="1">
      <c r="A449" s="54"/>
      <c r="B449" s="100"/>
      <c r="C449" s="55"/>
      <c r="D449" s="55"/>
      <c r="E449" s="56"/>
      <c r="F449" s="55"/>
      <c r="G449" s="56"/>
      <c r="H449" s="55"/>
      <c r="I449" s="64"/>
      <c r="J449" s="57" t="str">
        <f t="shared" si="47"/>
        <v/>
      </c>
      <c r="K449" s="57" t="str">
        <f t="shared" si="48"/>
        <v/>
      </c>
      <c r="L449" s="57" t="str">
        <f xml:space="preserve">
IF(OR('Dados da OS'!$D$8=Parâmetros!$B$3,'Dados da OS'!$D$8=Parâmetros!$B$4),
  IF(OR(ISBLANK(D449),ISBLANK(F449)),
     IF(OR(B449="ALI",B449="AIE"),"L",IF(ISBLANK(B449),"","A")),
     IF(B449="EE",IF(F449&gt;=3,IF(D449&gt;=5,"H","A"),
     IF(F449&gt;=2,IF(D449&gt;=16,"H",IF(D449&lt;=4,"L","A")),IF(D449&lt;=15,"L","A"))),
     IF(OR(B449="SE",B449="CE"),IF(F449&gt;=4,IF(D449&gt;=6,"H","A"),IF(F449&gt;=2,IF(D449&gt;=20,"H",IF(D449&lt;=5,"L","A")),IF(D449&lt;=19,"L","A"))),
     IF(OR(B449="ALI",B449="AIE"),IF(F449&gt;=6,IF(D449&gt;=20,"H","A"),IF(F449&gt;=2,IF(D449&gt;=51,"H",IF(D449&lt;=19,"L","A")),IF(D449&lt;=50,"L","A"))))))),
IF('Dados da OS'!$D$8=Parâmetros!$B$6,"Indicativa",
IF('Dados da OS'!$D$8=Parâmetros!$B$5,"PFS","")))</f>
        <v/>
      </c>
      <c r="M449" s="57">
        <f>IFERROR(VLOOKUP(C449,'Fatores de Impacto e INMs'!$A$3:$D$32,3,0),1)</f>
        <v>1</v>
      </c>
      <c r="N449" s="57">
        <f>IFERROR(VLOOKUP(C449,'Fatores de Impacto e INMs'!$A$3:$E$32,5,0),1)</f>
        <v>1</v>
      </c>
      <c r="O449" s="63" t="str">
        <f xml:space="preserve">
IF(OR('Dados da OS'!$D$8="Selecione o tipo da contagem",ISBLANK('Dados da OS'!$D$8),B449="INM",B449="N/A",ISBLANK(B449),ISBLANK(C449),N449="VF"),"-",
   IF('Dados da OS'!$D$8=Parâmetros!$B$3,
      IF(OR(ISBLANK(D449),ISBLANK(F449)),"-",
         IF(L449="L","Baixa",IF(L449="A","Média",IF(L449="H","Alta","-")))),
      IF('Dados da OS'!$D$8=Parâmetros!$B$4,
         IF(OR(B449="ALI",B449="AIE"),"Baixa",IF(OR(B449="EE",B449="SE",B449="CE"),"Média","-")),
         IF(OR('Dados da OS'!$D$8=Parâmetros!$B$5,'Dados da OS'!$D$8=Parâmetros!$B$6),"-"))))</f>
        <v>-</v>
      </c>
      <c r="P449" s="59" t="str">
        <f xml:space="preserve">
IF(OR(ISBLANK(B449),ISBLANK(C449),B449="N/A",ISBLANK('Dados da OS'!$D$8)),"",
   IF(OR('Dados da OS'!$D$8=Parâmetros!$B$3,'Dados da OS'!$D$8=Parâmetros!$B$4),
      IF(OR(AND(B449="INM",N449&lt;&gt;"VF"),AND(N449="VF",B449&lt;&gt;"INM")),"",
        IF(AND(B449="INM",N449="VF"),IF(ISBLANK(H449),"",M449*H449),
        IF('Dados da OS'!$D$8=Parâmetros!$B$4,
           IF(OR(B449="CE",B449="EE"),4,IF(B449="SE",5,IF(B449="ALI",7,IF(B449="AIE",5,"")))),
        IF('Dados da OS'!$D$8=Parâmetros!$B$3,
           IF(OR(ISBLANK(D449),ISBLANK(F449)),"",
              IF(B449="ALI",IF(L449="L",7,IF(L449="A",10,15)),
                 IF(B449="AIE",IF(L449="L",5,IF(L449="A",7,10)),
                    IF(B449="SE",IF(L449="L",4,IF(L449="A",5,7)),
                       IF(OR(B449="EE",B449="CE"),IF(L449="L",3,IF(L449="A",4,6)),""))))))))),
   IF('Dados da OS'!$D$8=Parâmetros!$B$5,
      IF(OR(AND(B449="INM",N449&lt;&gt;"VF"),AND(N449="VF",B449&lt;&gt;"INM")),"",
         IF(B449="INM",IF(N449="VF",M449*H449,""),
            IF(B449="PE",4.6,
            IF(B449="AL",7,"")))),
   IF('Dados da OS'!$D$8=Parâmetros!$B$6,
      IF(B449="ALI",35,IF(B449="AIE",15,"")),""))
    )
)</f>
        <v/>
      </c>
      <c r="Q449" s="60" t="str">
        <f t="shared" si="43"/>
        <v/>
      </c>
      <c r="R449" s="61"/>
      <c r="S449" s="62"/>
      <c r="T449" s="80" t="s">
        <v>21</v>
      </c>
      <c r="U449" s="81"/>
      <c r="V449" s="99"/>
      <c r="W449" s="55"/>
      <c r="X449" s="55"/>
      <c r="Y449" s="56"/>
      <c r="Z449" s="55"/>
      <c r="AA449" s="56"/>
      <c r="AB449" s="55"/>
      <c r="AC449" s="57" t="str">
        <f t="shared" si="44"/>
        <v/>
      </c>
      <c r="AD449" s="57" t="str">
        <f t="shared" si="45"/>
        <v/>
      </c>
      <c r="AE449" s="57" t="str">
        <f xml:space="preserve">
IF(OR('Dados da OS'!$D$8=Parâmetros!$B$3,'Dados da OS'!$D$8=Parâmetros!$B$4),
  IF(OR(ISBLANK(X449),ISBLANK(Z449)),
     IF(OR(V449="ALI",V449="AIE"),"L",IF(ISBLANK(V449),"","A")),
     IF(V449="EE",IF(Z449&gt;=3,IF(X449&gt;=5,"H","A"),
     IF(Z449&gt;=2,IF(X449&gt;=16,"H",IF(X449&lt;=4,"L","A")),IF(X449&lt;=15,"L","A"))),
     IF(OR(V449="SE",V449="CE"),IF(Z449&gt;=4,IF(X449&gt;=6,"H","A"),IF(Z449&gt;=2,IF(X449&gt;=20,"H",IF(X449&lt;=5,"L","A")),IF(X449&lt;=19,"L","A"))),
     IF(OR(V449="ALI",V449="AIE"),IF(Z449&gt;=6,IF(X449&gt;=20,"H","A"),IF(Z449&gt;=2,IF(X449&gt;=51,"H",IF(X449&lt;=19,"L","A")),IF(X449&lt;=50,"L","A"))))))),
IF('Dados da OS'!$D$8=Parâmetros!$B$6,"Indicativa",
IF('Dados da OS'!$D$8=Parâmetros!$B$5,"PFS","")))</f>
        <v/>
      </c>
      <c r="AF449" s="57">
        <f>IFERROR(VLOOKUP(W449,'Fatores de Impacto e INMs'!$A$3:$D$32,3,0),1)</f>
        <v>1</v>
      </c>
      <c r="AG449" s="57">
        <f>IFERROR(VLOOKUP(W449,'Fatores de Impacto e INMs'!$A$3:$E$32,5,0),1)</f>
        <v>1</v>
      </c>
      <c r="AH449" s="82" t="str">
        <f xml:space="preserve">
IF(OR('Dados da OS'!$D$8="Selecione o tipo da contagem",ISBLANK('Dados da OS'!$D$8),V449="INM",V449="N/A",ISBLANK(V449),ISBLANK(W449),AG449="VF"),"-",
   IF('Dados da OS'!$D$8=Parâmetros!$B$3,
      IF(OR(ISBLANK(X449),ISBLANK(Z449)),"-",
         IF(AE449="L","Baixa",IF(AE449="A","Média",IF(AE449="H","Alta","-")))),
      IF('Dados da OS'!$D$8=Parâmetros!$B$4,
         IF(OR(V449="ALI",V449="AIE"),"Baixa",IF(OR(V449="EE",V449="SE",V449="CE"),"Média","-")),
         IF(OR('Dados da OS'!$D$8=Parâmetros!$B$5,'Dados da OS'!$D$8=Parâmetros!$B$6),"-"))))</f>
        <v>-</v>
      </c>
      <c r="AI449" s="83" t="str">
        <f xml:space="preserve">
IF(OR(ISBLANK(V449),ISBLANK(U449),ISBLANK(W449),V449="N/A",ISBLANK('Dados da OS'!$D$8)),"",
   IF(OR('Dados da OS'!$D$8=Parâmetros!$B$3,'Dados da OS'!$D$8=Parâmetros!$B$4),
      IF(OR(AND(V449="INM",AG449&lt;&gt;"VF"),AND(AG449="VF",V449&lt;&gt;"INM")),"",
        IF(AND(V449="INM",AG449="VF"),IF(ISBLANK(AB449),"",AF449*AB449),
        IF('Dados da OS'!$D$8=Parâmetros!$B$4,
           IF(OR(V449="CE",V449="EE"),4,IF(V449="SE",5,IF(V449="ALI",7,IF(V449="AIE",5,"")))),
        IF('Dados da OS'!$D$8=Parâmetros!$B$3,
           IF(OR(ISBLANK(X449),ISBLANK(Z449)),"",
              IF(V449="ALI",IF(AE449="L",7,IF(AE449="A",10,15)),
                 IF(V449="AIE",IF(AE449="L",5,IF(AE449="A",7,10)),
                    IF(V449="SE",IF(AE449="L",4,IF(AE449="A",5,7)),
                       IF(OR(V449="EE",V449="CE"),IF(AE449="L",3,IF(AE449="A",4,6)),""))))))))),
   IF('Dados da OS'!$D$8=Parâmetros!$B$5,
      IF(OR(AND(V449="INM",AG449&lt;&gt;"VF"),AND(AG449="VF",V449&lt;&gt;"INM")),"",
         IF(V449="INM",IF(AG449="VF",AF449*AB449,""),
            IF(V449="PE",4.6,
            IF(V449="AL",7,"")))),
   IF('Dados da OS'!$D$8=Parâmetros!$B$6,
      IF(V449="ALI",35,IF(V449="AIE",15,"")),""))
    )
)</f>
        <v/>
      </c>
      <c r="AJ449" s="82" t="str">
        <f t="shared" si="46"/>
        <v/>
      </c>
      <c r="AK449" s="84"/>
      <c r="AL449" s="85" t="s">
        <v>21</v>
      </c>
      <c r="AM449" s="86"/>
      <c r="AN449" s="85"/>
      <c r="AO449" s="87"/>
      <c r="AP449" s="85"/>
      <c r="AQ449" s="86"/>
      <c r="AR449" s="85"/>
    </row>
    <row r="450" spans="1:44" ht="15.75" customHeight="1">
      <c r="A450" s="54"/>
      <c r="B450" s="100"/>
      <c r="C450" s="55"/>
      <c r="D450" s="55"/>
      <c r="E450" s="56"/>
      <c r="F450" s="55"/>
      <c r="G450" s="56"/>
      <c r="H450" s="55"/>
      <c r="I450" s="64"/>
      <c r="J450" s="57" t="str">
        <f t="shared" si="47"/>
        <v/>
      </c>
      <c r="K450" s="57" t="str">
        <f t="shared" si="48"/>
        <v/>
      </c>
      <c r="L450" s="57" t="str">
        <f xml:space="preserve">
IF(OR('Dados da OS'!$D$8=Parâmetros!$B$3,'Dados da OS'!$D$8=Parâmetros!$B$4),
  IF(OR(ISBLANK(D450),ISBLANK(F450)),
     IF(OR(B450="ALI",B450="AIE"),"L",IF(ISBLANK(B450),"","A")),
     IF(B450="EE",IF(F450&gt;=3,IF(D450&gt;=5,"H","A"),
     IF(F450&gt;=2,IF(D450&gt;=16,"H",IF(D450&lt;=4,"L","A")),IF(D450&lt;=15,"L","A"))),
     IF(OR(B450="SE",B450="CE"),IF(F450&gt;=4,IF(D450&gt;=6,"H","A"),IF(F450&gt;=2,IF(D450&gt;=20,"H",IF(D450&lt;=5,"L","A")),IF(D450&lt;=19,"L","A"))),
     IF(OR(B450="ALI",B450="AIE"),IF(F450&gt;=6,IF(D450&gt;=20,"H","A"),IF(F450&gt;=2,IF(D450&gt;=51,"H",IF(D450&lt;=19,"L","A")),IF(D450&lt;=50,"L","A"))))))),
IF('Dados da OS'!$D$8=Parâmetros!$B$6,"Indicativa",
IF('Dados da OS'!$D$8=Parâmetros!$B$5,"PFS","")))</f>
        <v/>
      </c>
      <c r="M450" s="57">
        <f>IFERROR(VLOOKUP(C450,'Fatores de Impacto e INMs'!$A$3:$D$32,3,0),1)</f>
        <v>1</v>
      </c>
      <c r="N450" s="57">
        <f>IFERROR(VLOOKUP(C450,'Fatores de Impacto e INMs'!$A$3:$E$32,5,0),1)</f>
        <v>1</v>
      </c>
      <c r="O450" s="63" t="str">
        <f xml:space="preserve">
IF(OR('Dados da OS'!$D$8="Selecione o tipo da contagem",ISBLANK('Dados da OS'!$D$8),B450="INM",B450="N/A",ISBLANK(B450),ISBLANK(C450),N450="VF"),"-",
   IF('Dados da OS'!$D$8=Parâmetros!$B$3,
      IF(OR(ISBLANK(D450),ISBLANK(F450)),"-",
         IF(L450="L","Baixa",IF(L450="A","Média",IF(L450="H","Alta","-")))),
      IF('Dados da OS'!$D$8=Parâmetros!$B$4,
         IF(OR(B450="ALI",B450="AIE"),"Baixa",IF(OR(B450="EE",B450="SE",B450="CE"),"Média","-")),
         IF(OR('Dados da OS'!$D$8=Parâmetros!$B$5,'Dados da OS'!$D$8=Parâmetros!$B$6),"-"))))</f>
        <v>-</v>
      </c>
      <c r="P450" s="59" t="str">
        <f xml:space="preserve">
IF(OR(ISBLANK(B450),ISBLANK(C450),B450="N/A",ISBLANK('Dados da OS'!$D$8)),"",
   IF(OR('Dados da OS'!$D$8=Parâmetros!$B$3,'Dados da OS'!$D$8=Parâmetros!$B$4),
      IF(OR(AND(B450="INM",N450&lt;&gt;"VF"),AND(N450="VF",B450&lt;&gt;"INM")),"",
        IF(AND(B450="INM",N450="VF"),IF(ISBLANK(H450),"",M450*H450),
        IF('Dados da OS'!$D$8=Parâmetros!$B$4,
           IF(OR(B450="CE",B450="EE"),4,IF(B450="SE",5,IF(B450="ALI",7,IF(B450="AIE",5,"")))),
        IF('Dados da OS'!$D$8=Parâmetros!$B$3,
           IF(OR(ISBLANK(D450),ISBLANK(F450)),"",
              IF(B450="ALI",IF(L450="L",7,IF(L450="A",10,15)),
                 IF(B450="AIE",IF(L450="L",5,IF(L450="A",7,10)),
                    IF(B450="SE",IF(L450="L",4,IF(L450="A",5,7)),
                       IF(OR(B450="EE",B450="CE"),IF(L450="L",3,IF(L450="A",4,6)),""))))))))),
   IF('Dados da OS'!$D$8=Parâmetros!$B$5,
      IF(OR(AND(B450="INM",N450&lt;&gt;"VF"),AND(N450="VF",B450&lt;&gt;"INM")),"",
         IF(B450="INM",IF(N450="VF",M450*H450,""),
            IF(B450="PE",4.6,
            IF(B450="AL",7,"")))),
   IF('Dados da OS'!$D$8=Parâmetros!$B$6,
      IF(B450="ALI",35,IF(B450="AIE",15,"")),""))
    )
)</f>
        <v/>
      </c>
      <c r="Q450" s="60" t="str">
        <f t="shared" si="43"/>
        <v/>
      </c>
      <c r="R450" s="61"/>
      <c r="S450" s="62"/>
      <c r="T450" s="80" t="s">
        <v>21</v>
      </c>
      <c r="U450" s="81"/>
      <c r="V450" s="99"/>
      <c r="W450" s="55"/>
      <c r="X450" s="55"/>
      <c r="Y450" s="56"/>
      <c r="Z450" s="55"/>
      <c r="AA450" s="56"/>
      <c r="AB450" s="55"/>
      <c r="AC450" s="57" t="str">
        <f t="shared" si="44"/>
        <v/>
      </c>
      <c r="AD450" s="57" t="str">
        <f t="shared" si="45"/>
        <v/>
      </c>
      <c r="AE450" s="57" t="str">
        <f xml:space="preserve">
IF(OR('Dados da OS'!$D$8=Parâmetros!$B$3,'Dados da OS'!$D$8=Parâmetros!$B$4),
  IF(OR(ISBLANK(X450),ISBLANK(Z450)),
     IF(OR(V450="ALI",V450="AIE"),"L",IF(ISBLANK(V450),"","A")),
     IF(V450="EE",IF(Z450&gt;=3,IF(X450&gt;=5,"H","A"),
     IF(Z450&gt;=2,IF(X450&gt;=16,"H",IF(X450&lt;=4,"L","A")),IF(X450&lt;=15,"L","A"))),
     IF(OR(V450="SE",V450="CE"),IF(Z450&gt;=4,IF(X450&gt;=6,"H","A"),IF(Z450&gt;=2,IF(X450&gt;=20,"H",IF(X450&lt;=5,"L","A")),IF(X450&lt;=19,"L","A"))),
     IF(OR(V450="ALI",V450="AIE"),IF(Z450&gt;=6,IF(X450&gt;=20,"H","A"),IF(Z450&gt;=2,IF(X450&gt;=51,"H",IF(X450&lt;=19,"L","A")),IF(X450&lt;=50,"L","A"))))))),
IF('Dados da OS'!$D$8=Parâmetros!$B$6,"Indicativa",
IF('Dados da OS'!$D$8=Parâmetros!$B$5,"PFS","")))</f>
        <v/>
      </c>
      <c r="AF450" s="57">
        <f>IFERROR(VLOOKUP(W450,'Fatores de Impacto e INMs'!$A$3:$D$32,3,0),1)</f>
        <v>1</v>
      </c>
      <c r="AG450" s="57">
        <f>IFERROR(VLOOKUP(W450,'Fatores de Impacto e INMs'!$A$3:$E$32,5,0),1)</f>
        <v>1</v>
      </c>
      <c r="AH450" s="82" t="str">
        <f xml:space="preserve">
IF(OR('Dados da OS'!$D$8="Selecione o tipo da contagem",ISBLANK('Dados da OS'!$D$8),V450="INM",V450="N/A",ISBLANK(V450),ISBLANK(W450),AG450="VF"),"-",
   IF('Dados da OS'!$D$8=Parâmetros!$B$3,
      IF(OR(ISBLANK(X450),ISBLANK(Z450)),"-",
         IF(AE450="L","Baixa",IF(AE450="A","Média",IF(AE450="H","Alta","-")))),
      IF('Dados da OS'!$D$8=Parâmetros!$B$4,
         IF(OR(V450="ALI",V450="AIE"),"Baixa",IF(OR(V450="EE",V450="SE",V450="CE"),"Média","-")),
         IF(OR('Dados da OS'!$D$8=Parâmetros!$B$5,'Dados da OS'!$D$8=Parâmetros!$B$6),"-"))))</f>
        <v>-</v>
      </c>
      <c r="AI450" s="83" t="str">
        <f xml:space="preserve">
IF(OR(ISBLANK(V450),ISBLANK(U450),ISBLANK(W450),V450="N/A",ISBLANK('Dados da OS'!$D$8)),"",
   IF(OR('Dados da OS'!$D$8=Parâmetros!$B$3,'Dados da OS'!$D$8=Parâmetros!$B$4),
      IF(OR(AND(V450="INM",AG450&lt;&gt;"VF"),AND(AG450="VF",V450&lt;&gt;"INM")),"",
        IF(AND(V450="INM",AG450="VF"),IF(ISBLANK(AB450),"",AF450*AB450),
        IF('Dados da OS'!$D$8=Parâmetros!$B$4,
           IF(OR(V450="CE",V450="EE"),4,IF(V450="SE",5,IF(V450="ALI",7,IF(V450="AIE",5,"")))),
        IF('Dados da OS'!$D$8=Parâmetros!$B$3,
           IF(OR(ISBLANK(X450),ISBLANK(Z450)),"",
              IF(V450="ALI",IF(AE450="L",7,IF(AE450="A",10,15)),
                 IF(V450="AIE",IF(AE450="L",5,IF(AE450="A",7,10)),
                    IF(V450="SE",IF(AE450="L",4,IF(AE450="A",5,7)),
                       IF(OR(V450="EE",V450="CE"),IF(AE450="L",3,IF(AE450="A",4,6)),""))))))))),
   IF('Dados da OS'!$D$8=Parâmetros!$B$5,
      IF(OR(AND(V450="INM",AG450&lt;&gt;"VF"),AND(AG450="VF",V450&lt;&gt;"INM")),"",
         IF(V450="INM",IF(AG450="VF",AF450*AB450,""),
            IF(V450="PE",4.6,
            IF(V450="AL",7,"")))),
   IF('Dados da OS'!$D$8=Parâmetros!$B$6,
      IF(V450="ALI",35,IF(V450="AIE",15,"")),""))
    )
)</f>
        <v/>
      </c>
      <c r="AJ450" s="82" t="str">
        <f t="shared" si="46"/>
        <v/>
      </c>
      <c r="AK450" s="84"/>
      <c r="AL450" s="85" t="s">
        <v>21</v>
      </c>
      <c r="AM450" s="86"/>
      <c r="AN450" s="85"/>
      <c r="AO450" s="87"/>
      <c r="AP450" s="85"/>
      <c r="AQ450" s="86"/>
      <c r="AR450" s="85"/>
    </row>
    <row r="451" spans="1:44" ht="15.75" customHeight="1">
      <c r="A451" s="54"/>
      <c r="B451" s="100"/>
      <c r="C451" s="55"/>
      <c r="D451" s="55"/>
      <c r="E451" s="56"/>
      <c r="F451" s="55"/>
      <c r="G451" s="56"/>
      <c r="H451" s="55"/>
      <c r="I451" s="64"/>
      <c r="J451" s="57" t="str">
        <f t="shared" si="47"/>
        <v/>
      </c>
      <c r="K451" s="57" t="str">
        <f t="shared" si="48"/>
        <v/>
      </c>
      <c r="L451" s="57" t="str">
        <f xml:space="preserve">
IF(OR('Dados da OS'!$D$8=Parâmetros!$B$3,'Dados da OS'!$D$8=Parâmetros!$B$4),
  IF(OR(ISBLANK(D451),ISBLANK(F451)),
     IF(OR(B451="ALI",B451="AIE"),"L",IF(ISBLANK(B451),"","A")),
     IF(B451="EE",IF(F451&gt;=3,IF(D451&gt;=5,"H","A"),
     IF(F451&gt;=2,IF(D451&gt;=16,"H",IF(D451&lt;=4,"L","A")),IF(D451&lt;=15,"L","A"))),
     IF(OR(B451="SE",B451="CE"),IF(F451&gt;=4,IF(D451&gt;=6,"H","A"),IF(F451&gt;=2,IF(D451&gt;=20,"H",IF(D451&lt;=5,"L","A")),IF(D451&lt;=19,"L","A"))),
     IF(OR(B451="ALI",B451="AIE"),IF(F451&gt;=6,IF(D451&gt;=20,"H","A"),IF(F451&gt;=2,IF(D451&gt;=51,"H",IF(D451&lt;=19,"L","A")),IF(D451&lt;=50,"L","A"))))))),
IF('Dados da OS'!$D$8=Parâmetros!$B$6,"Indicativa",
IF('Dados da OS'!$D$8=Parâmetros!$B$5,"PFS","")))</f>
        <v/>
      </c>
      <c r="M451" s="57">
        <f>IFERROR(VLOOKUP(C451,'Fatores de Impacto e INMs'!$A$3:$D$32,3,0),1)</f>
        <v>1</v>
      </c>
      <c r="N451" s="57">
        <f>IFERROR(VLOOKUP(C451,'Fatores de Impacto e INMs'!$A$3:$E$32,5,0),1)</f>
        <v>1</v>
      </c>
      <c r="O451" s="63" t="str">
        <f xml:space="preserve">
IF(OR('Dados da OS'!$D$8="Selecione o tipo da contagem",ISBLANK('Dados da OS'!$D$8),B451="INM",B451="N/A",ISBLANK(B451),ISBLANK(C451),N451="VF"),"-",
   IF('Dados da OS'!$D$8=Parâmetros!$B$3,
      IF(OR(ISBLANK(D451),ISBLANK(F451)),"-",
         IF(L451="L","Baixa",IF(L451="A","Média",IF(L451="H","Alta","-")))),
      IF('Dados da OS'!$D$8=Parâmetros!$B$4,
         IF(OR(B451="ALI",B451="AIE"),"Baixa",IF(OR(B451="EE",B451="SE",B451="CE"),"Média","-")),
         IF(OR('Dados da OS'!$D$8=Parâmetros!$B$5,'Dados da OS'!$D$8=Parâmetros!$B$6),"-"))))</f>
        <v>-</v>
      </c>
      <c r="P451" s="59" t="str">
        <f xml:space="preserve">
IF(OR(ISBLANK(B451),ISBLANK(C451),B451="N/A",ISBLANK('Dados da OS'!$D$8)),"",
   IF(OR('Dados da OS'!$D$8=Parâmetros!$B$3,'Dados da OS'!$D$8=Parâmetros!$B$4),
      IF(OR(AND(B451="INM",N451&lt;&gt;"VF"),AND(N451="VF",B451&lt;&gt;"INM")),"",
        IF(AND(B451="INM",N451="VF"),IF(ISBLANK(H451),"",M451*H451),
        IF('Dados da OS'!$D$8=Parâmetros!$B$4,
           IF(OR(B451="CE",B451="EE"),4,IF(B451="SE",5,IF(B451="ALI",7,IF(B451="AIE",5,"")))),
        IF('Dados da OS'!$D$8=Parâmetros!$B$3,
           IF(OR(ISBLANK(D451),ISBLANK(F451)),"",
              IF(B451="ALI",IF(L451="L",7,IF(L451="A",10,15)),
                 IF(B451="AIE",IF(L451="L",5,IF(L451="A",7,10)),
                    IF(B451="SE",IF(L451="L",4,IF(L451="A",5,7)),
                       IF(OR(B451="EE",B451="CE"),IF(L451="L",3,IF(L451="A",4,6)),""))))))))),
   IF('Dados da OS'!$D$8=Parâmetros!$B$5,
      IF(OR(AND(B451="INM",N451&lt;&gt;"VF"),AND(N451="VF",B451&lt;&gt;"INM")),"",
         IF(B451="INM",IF(N451="VF",M451*H451,""),
            IF(B451="PE",4.6,
            IF(B451="AL",7,"")))),
   IF('Dados da OS'!$D$8=Parâmetros!$B$6,
      IF(B451="ALI",35,IF(B451="AIE",15,"")),""))
    )
)</f>
        <v/>
      </c>
      <c r="Q451" s="60" t="str">
        <f t="shared" si="43"/>
        <v/>
      </c>
      <c r="R451" s="61"/>
      <c r="S451" s="62"/>
      <c r="T451" s="80" t="s">
        <v>21</v>
      </c>
      <c r="U451" s="81"/>
      <c r="V451" s="99"/>
      <c r="W451" s="55"/>
      <c r="X451" s="55"/>
      <c r="Y451" s="56"/>
      <c r="Z451" s="55"/>
      <c r="AA451" s="56"/>
      <c r="AB451" s="55"/>
      <c r="AC451" s="57" t="str">
        <f t="shared" si="44"/>
        <v/>
      </c>
      <c r="AD451" s="57" t="str">
        <f t="shared" si="45"/>
        <v/>
      </c>
      <c r="AE451" s="57" t="str">
        <f xml:space="preserve">
IF(OR('Dados da OS'!$D$8=Parâmetros!$B$3,'Dados da OS'!$D$8=Parâmetros!$B$4),
  IF(OR(ISBLANK(X451),ISBLANK(Z451)),
     IF(OR(V451="ALI",V451="AIE"),"L",IF(ISBLANK(V451),"","A")),
     IF(V451="EE",IF(Z451&gt;=3,IF(X451&gt;=5,"H","A"),
     IF(Z451&gt;=2,IF(X451&gt;=16,"H",IF(X451&lt;=4,"L","A")),IF(X451&lt;=15,"L","A"))),
     IF(OR(V451="SE",V451="CE"),IF(Z451&gt;=4,IF(X451&gt;=6,"H","A"),IF(Z451&gt;=2,IF(X451&gt;=20,"H",IF(X451&lt;=5,"L","A")),IF(X451&lt;=19,"L","A"))),
     IF(OR(V451="ALI",V451="AIE"),IF(Z451&gt;=6,IF(X451&gt;=20,"H","A"),IF(Z451&gt;=2,IF(X451&gt;=51,"H",IF(X451&lt;=19,"L","A")),IF(X451&lt;=50,"L","A"))))))),
IF('Dados da OS'!$D$8=Parâmetros!$B$6,"Indicativa",
IF('Dados da OS'!$D$8=Parâmetros!$B$5,"PFS","")))</f>
        <v/>
      </c>
      <c r="AF451" s="57">
        <f>IFERROR(VLOOKUP(W451,'Fatores de Impacto e INMs'!$A$3:$D$32,3,0),1)</f>
        <v>1</v>
      </c>
      <c r="AG451" s="57">
        <f>IFERROR(VLOOKUP(W451,'Fatores de Impacto e INMs'!$A$3:$E$32,5,0),1)</f>
        <v>1</v>
      </c>
      <c r="AH451" s="82" t="str">
        <f xml:space="preserve">
IF(OR('Dados da OS'!$D$8="Selecione o tipo da contagem",ISBLANK('Dados da OS'!$D$8),V451="INM",V451="N/A",ISBLANK(V451),ISBLANK(W451),AG451="VF"),"-",
   IF('Dados da OS'!$D$8=Parâmetros!$B$3,
      IF(OR(ISBLANK(X451),ISBLANK(Z451)),"-",
         IF(AE451="L","Baixa",IF(AE451="A","Média",IF(AE451="H","Alta","-")))),
      IF('Dados da OS'!$D$8=Parâmetros!$B$4,
         IF(OR(V451="ALI",V451="AIE"),"Baixa",IF(OR(V451="EE",V451="SE",V451="CE"),"Média","-")),
         IF(OR('Dados da OS'!$D$8=Parâmetros!$B$5,'Dados da OS'!$D$8=Parâmetros!$B$6),"-"))))</f>
        <v>-</v>
      </c>
      <c r="AI451" s="83" t="str">
        <f xml:space="preserve">
IF(OR(ISBLANK(V451),ISBLANK(U451),ISBLANK(W451),V451="N/A",ISBLANK('Dados da OS'!$D$8)),"",
   IF(OR('Dados da OS'!$D$8=Parâmetros!$B$3,'Dados da OS'!$D$8=Parâmetros!$B$4),
      IF(OR(AND(V451="INM",AG451&lt;&gt;"VF"),AND(AG451="VF",V451&lt;&gt;"INM")),"",
        IF(AND(V451="INM",AG451="VF"),IF(ISBLANK(AB451),"",AF451*AB451),
        IF('Dados da OS'!$D$8=Parâmetros!$B$4,
           IF(OR(V451="CE",V451="EE"),4,IF(V451="SE",5,IF(V451="ALI",7,IF(V451="AIE",5,"")))),
        IF('Dados da OS'!$D$8=Parâmetros!$B$3,
           IF(OR(ISBLANK(X451),ISBLANK(Z451)),"",
              IF(V451="ALI",IF(AE451="L",7,IF(AE451="A",10,15)),
                 IF(V451="AIE",IF(AE451="L",5,IF(AE451="A",7,10)),
                    IF(V451="SE",IF(AE451="L",4,IF(AE451="A",5,7)),
                       IF(OR(V451="EE",V451="CE"),IF(AE451="L",3,IF(AE451="A",4,6)),""))))))))),
   IF('Dados da OS'!$D$8=Parâmetros!$B$5,
      IF(OR(AND(V451="INM",AG451&lt;&gt;"VF"),AND(AG451="VF",V451&lt;&gt;"INM")),"",
         IF(V451="INM",IF(AG451="VF",AF451*AB451,""),
            IF(V451="PE",4.6,
            IF(V451="AL",7,"")))),
   IF('Dados da OS'!$D$8=Parâmetros!$B$6,
      IF(V451="ALI",35,IF(V451="AIE",15,"")),""))
    )
)</f>
        <v/>
      </c>
      <c r="AJ451" s="82" t="str">
        <f t="shared" si="46"/>
        <v/>
      </c>
      <c r="AK451" s="84"/>
      <c r="AL451" s="85" t="s">
        <v>21</v>
      </c>
      <c r="AM451" s="86"/>
      <c r="AN451" s="85"/>
      <c r="AO451" s="87"/>
      <c r="AP451" s="85"/>
      <c r="AQ451" s="86"/>
      <c r="AR451" s="85"/>
    </row>
    <row r="452" spans="1:44" ht="15.75" customHeight="1">
      <c r="A452" s="54"/>
      <c r="B452" s="100"/>
      <c r="C452" s="55"/>
      <c r="D452" s="55"/>
      <c r="E452" s="56"/>
      <c r="F452" s="55"/>
      <c r="G452" s="56"/>
      <c r="H452" s="55"/>
      <c r="I452" s="64"/>
      <c r="J452" s="57" t="str">
        <f t="shared" si="47"/>
        <v/>
      </c>
      <c r="K452" s="57" t="str">
        <f t="shared" si="48"/>
        <v/>
      </c>
      <c r="L452" s="57" t="str">
        <f xml:space="preserve">
IF(OR('Dados da OS'!$D$8=Parâmetros!$B$3,'Dados da OS'!$D$8=Parâmetros!$B$4),
  IF(OR(ISBLANK(D452),ISBLANK(F452)),
     IF(OR(B452="ALI",B452="AIE"),"L",IF(ISBLANK(B452),"","A")),
     IF(B452="EE",IF(F452&gt;=3,IF(D452&gt;=5,"H","A"),
     IF(F452&gt;=2,IF(D452&gt;=16,"H",IF(D452&lt;=4,"L","A")),IF(D452&lt;=15,"L","A"))),
     IF(OR(B452="SE",B452="CE"),IF(F452&gt;=4,IF(D452&gt;=6,"H","A"),IF(F452&gt;=2,IF(D452&gt;=20,"H",IF(D452&lt;=5,"L","A")),IF(D452&lt;=19,"L","A"))),
     IF(OR(B452="ALI",B452="AIE"),IF(F452&gt;=6,IF(D452&gt;=20,"H","A"),IF(F452&gt;=2,IF(D452&gt;=51,"H",IF(D452&lt;=19,"L","A")),IF(D452&lt;=50,"L","A"))))))),
IF('Dados da OS'!$D$8=Parâmetros!$B$6,"Indicativa",
IF('Dados da OS'!$D$8=Parâmetros!$B$5,"PFS","")))</f>
        <v/>
      </c>
      <c r="M452" s="57">
        <f>IFERROR(VLOOKUP(C452,'Fatores de Impacto e INMs'!$A$3:$D$32,3,0),1)</f>
        <v>1</v>
      </c>
      <c r="N452" s="57">
        <f>IFERROR(VLOOKUP(C452,'Fatores de Impacto e INMs'!$A$3:$E$32,5,0),1)</f>
        <v>1</v>
      </c>
      <c r="O452" s="63" t="str">
        <f xml:space="preserve">
IF(OR('Dados da OS'!$D$8="Selecione o tipo da contagem",ISBLANK('Dados da OS'!$D$8),B452="INM",B452="N/A",ISBLANK(B452),ISBLANK(C452),N452="VF"),"-",
   IF('Dados da OS'!$D$8=Parâmetros!$B$3,
      IF(OR(ISBLANK(D452),ISBLANK(F452)),"-",
         IF(L452="L","Baixa",IF(L452="A","Média",IF(L452="H","Alta","-")))),
      IF('Dados da OS'!$D$8=Parâmetros!$B$4,
         IF(OR(B452="ALI",B452="AIE"),"Baixa",IF(OR(B452="EE",B452="SE",B452="CE"),"Média","-")),
         IF(OR('Dados da OS'!$D$8=Parâmetros!$B$5,'Dados da OS'!$D$8=Parâmetros!$B$6),"-"))))</f>
        <v>-</v>
      </c>
      <c r="P452" s="59" t="str">
        <f xml:space="preserve">
IF(OR(ISBLANK(B452),ISBLANK(C452),B452="N/A",ISBLANK('Dados da OS'!$D$8)),"",
   IF(OR('Dados da OS'!$D$8=Parâmetros!$B$3,'Dados da OS'!$D$8=Parâmetros!$B$4),
      IF(OR(AND(B452="INM",N452&lt;&gt;"VF"),AND(N452="VF",B452&lt;&gt;"INM")),"",
        IF(AND(B452="INM",N452="VF"),IF(ISBLANK(H452),"",M452*H452),
        IF('Dados da OS'!$D$8=Parâmetros!$B$4,
           IF(OR(B452="CE",B452="EE"),4,IF(B452="SE",5,IF(B452="ALI",7,IF(B452="AIE",5,"")))),
        IF('Dados da OS'!$D$8=Parâmetros!$B$3,
           IF(OR(ISBLANK(D452),ISBLANK(F452)),"",
              IF(B452="ALI",IF(L452="L",7,IF(L452="A",10,15)),
                 IF(B452="AIE",IF(L452="L",5,IF(L452="A",7,10)),
                    IF(B452="SE",IF(L452="L",4,IF(L452="A",5,7)),
                       IF(OR(B452="EE",B452="CE"),IF(L452="L",3,IF(L452="A",4,6)),""))))))))),
   IF('Dados da OS'!$D$8=Parâmetros!$B$5,
      IF(OR(AND(B452="INM",N452&lt;&gt;"VF"),AND(N452="VF",B452&lt;&gt;"INM")),"",
         IF(B452="INM",IF(N452="VF",M452*H452,""),
            IF(B452="PE",4.6,
            IF(B452="AL",7,"")))),
   IF('Dados da OS'!$D$8=Parâmetros!$B$6,
      IF(B452="ALI",35,IF(B452="AIE",15,"")),""))
    )
)</f>
        <v/>
      </c>
      <c r="Q452" s="60" t="str">
        <f t="shared" si="43"/>
        <v/>
      </c>
      <c r="R452" s="61"/>
      <c r="S452" s="62"/>
      <c r="T452" s="80" t="s">
        <v>21</v>
      </c>
      <c r="U452" s="81"/>
      <c r="V452" s="99"/>
      <c r="W452" s="55"/>
      <c r="X452" s="55"/>
      <c r="Y452" s="56"/>
      <c r="Z452" s="55"/>
      <c r="AA452" s="56"/>
      <c r="AB452" s="55"/>
      <c r="AC452" s="57" t="str">
        <f t="shared" si="44"/>
        <v/>
      </c>
      <c r="AD452" s="57" t="str">
        <f t="shared" si="45"/>
        <v/>
      </c>
      <c r="AE452" s="57" t="str">
        <f xml:space="preserve">
IF(OR('Dados da OS'!$D$8=Parâmetros!$B$3,'Dados da OS'!$D$8=Parâmetros!$B$4),
  IF(OR(ISBLANK(X452),ISBLANK(Z452)),
     IF(OR(V452="ALI",V452="AIE"),"L",IF(ISBLANK(V452),"","A")),
     IF(V452="EE",IF(Z452&gt;=3,IF(X452&gt;=5,"H","A"),
     IF(Z452&gt;=2,IF(X452&gt;=16,"H",IF(X452&lt;=4,"L","A")),IF(X452&lt;=15,"L","A"))),
     IF(OR(V452="SE",V452="CE"),IF(Z452&gt;=4,IF(X452&gt;=6,"H","A"),IF(Z452&gt;=2,IF(X452&gt;=20,"H",IF(X452&lt;=5,"L","A")),IF(X452&lt;=19,"L","A"))),
     IF(OR(V452="ALI",V452="AIE"),IF(Z452&gt;=6,IF(X452&gt;=20,"H","A"),IF(Z452&gt;=2,IF(X452&gt;=51,"H",IF(X452&lt;=19,"L","A")),IF(X452&lt;=50,"L","A"))))))),
IF('Dados da OS'!$D$8=Parâmetros!$B$6,"Indicativa",
IF('Dados da OS'!$D$8=Parâmetros!$B$5,"PFS","")))</f>
        <v/>
      </c>
      <c r="AF452" s="57">
        <f>IFERROR(VLOOKUP(W452,'Fatores de Impacto e INMs'!$A$3:$D$32,3,0),1)</f>
        <v>1</v>
      </c>
      <c r="AG452" s="57">
        <f>IFERROR(VLOOKUP(W452,'Fatores de Impacto e INMs'!$A$3:$E$32,5,0),1)</f>
        <v>1</v>
      </c>
      <c r="AH452" s="82" t="str">
        <f xml:space="preserve">
IF(OR('Dados da OS'!$D$8="Selecione o tipo da contagem",ISBLANK('Dados da OS'!$D$8),V452="INM",V452="N/A",ISBLANK(V452),ISBLANK(W452),AG452="VF"),"-",
   IF('Dados da OS'!$D$8=Parâmetros!$B$3,
      IF(OR(ISBLANK(X452),ISBLANK(Z452)),"-",
         IF(AE452="L","Baixa",IF(AE452="A","Média",IF(AE452="H","Alta","-")))),
      IF('Dados da OS'!$D$8=Parâmetros!$B$4,
         IF(OR(V452="ALI",V452="AIE"),"Baixa",IF(OR(V452="EE",V452="SE",V452="CE"),"Média","-")),
         IF(OR('Dados da OS'!$D$8=Parâmetros!$B$5,'Dados da OS'!$D$8=Parâmetros!$B$6),"-"))))</f>
        <v>-</v>
      </c>
      <c r="AI452" s="83" t="str">
        <f xml:space="preserve">
IF(OR(ISBLANK(V452),ISBLANK(U452),ISBLANK(W452),V452="N/A",ISBLANK('Dados da OS'!$D$8)),"",
   IF(OR('Dados da OS'!$D$8=Parâmetros!$B$3,'Dados da OS'!$D$8=Parâmetros!$B$4),
      IF(OR(AND(V452="INM",AG452&lt;&gt;"VF"),AND(AG452="VF",V452&lt;&gt;"INM")),"",
        IF(AND(V452="INM",AG452="VF"),IF(ISBLANK(AB452),"",AF452*AB452),
        IF('Dados da OS'!$D$8=Parâmetros!$B$4,
           IF(OR(V452="CE",V452="EE"),4,IF(V452="SE",5,IF(V452="ALI",7,IF(V452="AIE",5,"")))),
        IF('Dados da OS'!$D$8=Parâmetros!$B$3,
           IF(OR(ISBLANK(X452),ISBLANK(Z452)),"",
              IF(V452="ALI",IF(AE452="L",7,IF(AE452="A",10,15)),
                 IF(V452="AIE",IF(AE452="L",5,IF(AE452="A",7,10)),
                    IF(V452="SE",IF(AE452="L",4,IF(AE452="A",5,7)),
                       IF(OR(V452="EE",V452="CE"),IF(AE452="L",3,IF(AE452="A",4,6)),""))))))))),
   IF('Dados da OS'!$D$8=Parâmetros!$B$5,
      IF(OR(AND(V452="INM",AG452&lt;&gt;"VF"),AND(AG452="VF",V452&lt;&gt;"INM")),"",
         IF(V452="INM",IF(AG452="VF",AF452*AB452,""),
            IF(V452="PE",4.6,
            IF(V452="AL",7,"")))),
   IF('Dados da OS'!$D$8=Parâmetros!$B$6,
      IF(V452="ALI",35,IF(V452="AIE",15,"")),""))
    )
)</f>
        <v/>
      </c>
      <c r="AJ452" s="82" t="str">
        <f t="shared" si="46"/>
        <v/>
      </c>
      <c r="AK452" s="84"/>
      <c r="AL452" s="85" t="s">
        <v>21</v>
      </c>
      <c r="AM452" s="86"/>
      <c r="AN452" s="85"/>
      <c r="AO452" s="87"/>
      <c r="AP452" s="85"/>
      <c r="AQ452" s="86"/>
      <c r="AR452" s="85"/>
    </row>
    <row r="453" spans="1:44" ht="15.75" customHeight="1">
      <c r="A453" s="54"/>
      <c r="B453" s="100"/>
      <c r="C453" s="55"/>
      <c r="D453" s="55"/>
      <c r="E453" s="56"/>
      <c r="F453" s="55"/>
      <c r="G453" s="56"/>
      <c r="H453" s="55"/>
      <c r="I453" s="64"/>
      <c r="J453" s="57" t="str">
        <f t="shared" si="47"/>
        <v/>
      </c>
      <c r="K453" s="57" t="str">
        <f t="shared" si="48"/>
        <v/>
      </c>
      <c r="L453" s="57" t="str">
        <f xml:space="preserve">
IF(OR('Dados da OS'!$D$8=Parâmetros!$B$3,'Dados da OS'!$D$8=Parâmetros!$B$4),
  IF(OR(ISBLANK(D453),ISBLANK(F453)),
     IF(OR(B453="ALI",B453="AIE"),"L",IF(ISBLANK(B453),"","A")),
     IF(B453="EE",IF(F453&gt;=3,IF(D453&gt;=5,"H","A"),
     IF(F453&gt;=2,IF(D453&gt;=16,"H",IF(D453&lt;=4,"L","A")),IF(D453&lt;=15,"L","A"))),
     IF(OR(B453="SE",B453="CE"),IF(F453&gt;=4,IF(D453&gt;=6,"H","A"),IF(F453&gt;=2,IF(D453&gt;=20,"H",IF(D453&lt;=5,"L","A")),IF(D453&lt;=19,"L","A"))),
     IF(OR(B453="ALI",B453="AIE"),IF(F453&gt;=6,IF(D453&gt;=20,"H","A"),IF(F453&gt;=2,IF(D453&gt;=51,"H",IF(D453&lt;=19,"L","A")),IF(D453&lt;=50,"L","A"))))))),
IF('Dados da OS'!$D$8=Parâmetros!$B$6,"Indicativa",
IF('Dados da OS'!$D$8=Parâmetros!$B$5,"PFS","")))</f>
        <v/>
      </c>
      <c r="M453" s="57">
        <f>IFERROR(VLOOKUP(C453,'Fatores de Impacto e INMs'!$A$3:$D$32,3,0),1)</f>
        <v>1</v>
      </c>
      <c r="N453" s="57">
        <f>IFERROR(VLOOKUP(C453,'Fatores de Impacto e INMs'!$A$3:$E$32,5,0),1)</f>
        <v>1</v>
      </c>
      <c r="O453" s="63" t="str">
        <f xml:space="preserve">
IF(OR('Dados da OS'!$D$8="Selecione o tipo da contagem",ISBLANK('Dados da OS'!$D$8),B453="INM",B453="N/A",ISBLANK(B453),ISBLANK(C453),N453="VF"),"-",
   IF('Dados da OS'!$D$8=Parâmetros!$B$3,
      IF(OR(ISBLANK(D453),ISBLANK(F453)),"-",
         IF(L453="L","Baixa",IF(L453="A","Média",IF(L453="H","Alta","-")))),
      IF('Dados da OS'!$D$8=Parâmetros!$B$4,
         IF(OR(B453="ALI",B453="AIE"),"Baixa",IF(OR(B453="EE",B453="SE",B453="CE"),"Média","-")),
         IF(OR('Dados da OS'!$D$8=Parâmetros!$B$5,'Dados da OS'!$D$8=Parâmetros!$B$6),"-"))))</f>
        <v>-</v>
      </c>
      <c r="P453" s="59" t="str">
        <f xml:space="preserve">
IF(OR(ISBLANK(B453),ISBLANK(C453),B453="N/A",ISBLANK('Dados da OS'!$D$8)),"",
   IF(OR('Dados da OS'!$D$8=Parâmetros!$B$3,'Dados da OS'!$D$8=Parâmetros!$B$4),
      IF(OR(AND(B453="INM",N453&lt;&gt;"VF"),AND(N453="VF",B453&lt;&gt;"INM")),"",
        IF(AND(B453="INM",N453="VF"),IF(ISBLANK(H453),"",M453*H453),
        IF('Dados da OS'!$D$8=Parâmetros!$B$4,
           IF(OR(B453="CE",B453="EE"),4,IF(B453="SE",5,IF(B453="ALI",7,IF(B453="AIE",5,"")))),
        IF('Dados da OS'!$D$8=Parâmetros!$B$3,
           IF(OR(ISBLANK(D453),ISBLANK(F453)),"",
              IF(B453="ALI",IF(L453="L",7,IF(L453="A",10,15)),
                 IF(B453="AIE",IF(L453="L",5,IF(L453="A",7,10)),
                    IF(B453="SE",IF(L453="L",4,IF(L453="A",5,7)),
                       IF(OR(B453="EE",B453="CE"),IF(L453="L",3,IF(L453="A",4,6)),""))))))))),
   IF('Dados da OS'!$D$8=Parâmetros!$B$5,
      IF(OR(AND(B453="INM",N453&lt;&gt;"VF"),AND(N453="VF",B453&lt;&gt;"INM")),"",
         IF(B453="INM",IF(N453="VF",M453*H453,""),
            IF(B453="PE",4.6,
            IF(B453="AL",7,"")))),
   IF('Dados da OS'!$D$8=Parâmetros!$B$6,
      IF(B453="ALI",35,IF(B453="AIE",15,"")),""))
    )
)</f>
        <v/>
      </c>
      <c r="Q453" s="60" t="str">
        <f t="shared" ref="Q453:Q455" si="49">IF(P453="","",IF(B453="INM",P453,P453*M453))</f>
        <v/>
      </c>
      <c r="R453" s="61"/>
      <c r="S453" s="62"/>
      <c r="T453" s="80" t="s">
        <v>21</v>
      </c>
      <c r="U453" s="81"/>
      <c r="V453" s="99"/>
      <c r="W453" s="55"/>
      <c r="X453" s="55"/>
      <c r="Y453" s="56"/>
      <c r="Z453" s="55"/>
      <c r="AA453" s="56"/>
      <c r="AB453" s="55"/>
      <c r="AC453" s="57" t="str">
        <f t="shared" ref="AC453:AC455" si="50">CONCATENATE(V453,AE453)</f>
        <v/>
      </c>
      <c r="AD453" s="57" t="str">
        <f t="shared" ref="AD453:AD455" si="51">CONCATENATE(V453,W453,AE453,AJ453)</f>
        <v/>
      </c>
      <c r="AE453" s="57" t="str">
        <f xml:space="preserve">
IF(OR('Dados da OS'!$D$8=Parâmetros!$B$3,'Dados da OS'!$D$8=Parâmetros!$B$4),
  IF(OR(ISBLANK(X453),ISBLANK(Z453)),
     IF(OR(V453="ALI",V453="AIE"),"L",IF(ISBLANK(V453),"","A")),
     IF(V453="EE",IF(Z453&gt;=3,IF(X453&gt;=5,"H","A"),
     IF(Z453&gt;=2,IF(X453&gt;=16,"H",IF(X453&lt;=4,"L","A")),IF(X453&lt;=15,"L","A"))),
     IF(OR(V453="SE",V453="CE"),IF(Z453&gt;=4,IF(X453&gt;=6,"H","A"),IF(Z453&gt;=2,IF(X453&gt;=20,"H",IF(X453&lt;=5,"L","A")),IF(X453&lt;=19,"L","A"))),
     IF(OR(V453="ALI",V453="AIE"),IF(Z453&gt;=6,IF(X453&gt;=20,"H","A"),IF(Z453&gt;=2,IF(X453&gt;=51,"H",IF(X453&lt;=19,"L","A")),IF(X453&lt;=50,"L","A"))))))),
IF('Dados da OS'!$D$8=Parâmetros!$B$6,"Indicativa",
IF('Dados da OS'!$D$8=Parâmetros!$B$5,"PFS","")))</f>
        <v/>
      </c>
      <c r="AF453" s="57">
        <f>IFERROR(VLOOKUP(W453,'Fatores de Impacto e INMs'!$A$3:$D$32,3,0),1)</f>
        <v>1</v>
      </c>
      <c r="AG453" s="57">
        <f>IFERROR(VLOOKUP(W453,'Fatores de Impacto e INMs'!$A$3:$E$32,5,0),1)</f>
        <v>1</v>
      </c>
      <c r="AH453" s="82" t="str">
        <f xml:space="preserve">
IF(OR('Dados da OS'!$D$8="Selecione o tipo da contagem",ISBLANK('Dados da OS'!$D$8),V453="INM",V453="N/A",ISBLANK(V453),ISBLANK(W453),AG453="VF"),"-",
   IF('Dados da OS'!$D$8=Parâmetros!$B$3,
      IF(OR(ISBLANK(X453),ISBLANK(Z453)),"-",
         IF(AE453="L","Baixa",IF(AE453="A","Média",IF(AE453="H","Alta","-")))),
      IF('Dados da OS'!$D$8=Parâmetros!$B$4,
         IF(OR(V453="ALI",V453="AIE"),"Baixa",IF(OR(V453="EE",V453="SE",V453="CE"),"Média","-")),
         IF(OR('Dados da OS'!$D$8=Parâmetros!$B$5,'Dados da OS'!$D$8=Parâmetros!$B$6),"-"))))</f>
        <v>-</v>
      </c>
      <c r="AI453" s="83" t="str">
        <f xml:space="preserve">
IF(OR(ISBLANK(V453),ISBLANK(U453),ISBLANK(W453),V453="N/A",ISBLANK('Dados da OS'!$D$8)),"",
   IF(OR('Dados da OS'!$D$8=Parâmetros!$B$3,'Dados da OS'!$D$8=Parâmetros!$B$4),
      IF(OR(AND(V453="INM",AG453&lt;&gt;"VF"),AND(AG453="VF",V453&lt;&gt;"INM")),"",
        IF(AND(V453="INM",AG453="VF"),IF(ISBLANK(AB453),"",AF453*AB453),
        IF('Dados da OS'!$D$8=Parâmetros!$B$4,
           IF(OR(V453="CE",V453="EE"),4,IF(V453="SE",5,IF(V453="ALI",7,IF(V453="AIE",5,"")))),
        IF('Dados da OS'!$D$8=Parâmetros!$B$3,
           IF(OR(ISBLANK(X453),ISBLANK(Z453)),"",
              IF(V453="ALI",IF(AE453="L",7,IF(AE453="A",10,15)),
                 IF(V453="AIE",IF(AE453="L",5,IF(AE453="A",7,10)),
                    IF(V453="SE",IF(AE453="L",4,IF(AE453="A",5,7)),
                       IF(OR(V453="EE",V453="CE"),IF(AE453="L",3,IF(AE453="A",4,6)),""))))))))),
   IF('Dados da OS'!$D$8=Parâmetros!$B$5,
      IF(OR(AND(V453="INM",AG453&lt;&gt;"VF"),AND(AG453="VF",V453&lt;&gt;"INM")),"",
         IF(V453="INM",IF(AG453="VF",AF453*AB453,""),
            IF(V453="PE",4.6,
            IF(V453="AL",7,"")))),
   IF('Dados da OS'!$D$8=Parâmetros!$B$6,
      IF(V453="ALI",35,IF(V453="AIE",15,"")),""))
    )
)</f>
        <v/>
      </c>
      <c r="AJ453" s="82" t="str">
        <f t="shared" ref="AJ453:AJ455" si="52">IF(AI453="","",IF(V453="INM",AI453,AI453*AF453))</f>
        <v/>
      </c>
      <c r="AK453" s="84"/>
      <c r="AL453" s="85" t="s">
        <v>21</v>
      </c>
      <c r="AM453" s="86"/>
      <c r="AN453" s="85"/>
      <c r="AO453" s="87"/>
      <c r="AP453" s="85"/>
      <c r="AQ453" s="86"/>
      <c r="AR453" s="85"/>
    </row>
    <row r="454" spans="1:44" ht="15.75" customHeight="1">
      <c r="A454" s="54"/>
      <c r="B454" s="100"/>
      <c r="C454" s="55"/>
      <c r="D454" s="55"/>
      <c r="E454" s="56"/>
      <c r="F454" s="55"/>
      <c r="G454" s="56"/>
      <c r="H454" s="55"/>
      <c r="I454" s="64"/>
      <c r="J454" s="57" t="str">
        <f t="shared" si="47"/>
        <v/>
      </c>
      <c r="K454" s="57" t="str">
        <f t="shared" si="48"/>
        <v/>
      </c>
      <c r="L454" s="57" t="str">
        <f xml:space="preserve">
IF(OR('Dados da OS'!$D$8=Parâmetros!$B$3,'Dados da OS'!$D$8=Parâmetros!$B$4),
  IF(OR(ISBLANK(D454),ISBLANK(F454)),
     IF(OR(B454="ALI",B454="AIE"),"L",IF(ISBLANK(B454),"","A")),
     IF(B454="EE",IF(F454&gt;=3,IF(D454&gt;=5,"H","A"),
     IF(F454&gt;=2,IF(D454&gt;=16,"H",IF(D454&lt;=4,"L","A")),IF(D454&lt;=15,"L","A"))),
     IF(OR(B454="SE",B454="CE"),IF(F454&gt;=4,IF(D454&gt;=6,"H","A"),IF(F454&gt;=2,IF(D454&gt;=20,"H",IF(D454&lt;=5,"L","A")),IF(D454&lt;=19,"L","A"))),
     IF(OR(B454="ALI",B454="AIE"),IF(F454&gt;=6,IF(D454&gt;=20,"H","A"),IF(F454&gt;=2,IF(D454&gt;=51,"H",IF(D454&lt;=19,"L","A")),IF(D454&lt;=50,"L","A"))))))),
IF('Dados da OS'!$D$8=Parâmetros!$B$6,"Indicativa",
IF('Dados da OS'!$D$8=Parâmetros!$B$5,"PFS","")))</f>
        <v/>
      </c>
      <c r="M454" s="57">
        <f>IFERROR(VLOOKUP(C454,'Fatores de Impacto e INMs'!$A$3:$D$32,3,0),1)</f>
        <v>1</v>
      </c>
      <c r="N454" s="57">
        <f>IFERROR(VLOOKUP(C454,'Fatores de Impacto e INMs'!$A$3:$E$32,5,0),1)</f>
        <v>1</v>
      </c>
      <c r="O454" s="63" t="str">
        <f xml:space="preserve">
IF(OR('Dados da OS'!$D$8="Selecione o tipo da contagem",ISBLANK('Dados da OS'!$D$8),B454="INM",B454="N/A",ISBLANK(B454),ISBLANK(C454),N454="VF"),"-",
   IF('Dados da OS'!$D$8=Parâmetros!$B$3,
      IF(OR(ISBLANK(D454),ISBLANK(F454)),"-",
         IF(L454="L","Baixa",IF(L454="A","Média",IF(L454="H","Alta","-")))),
      IF('Dados da OS'!$D$8=Parâmetros!$B$4,
         IF(OR(B454="ALI",B454="AIE"),"Baixa",IF(OR(B454="EE",B454="SE",B454="CE"),"Média","-")),
         IF(OR('Dados da OS'!$D$8=Parâmetros!$B$5,'Dados da OS'!$D$8=Parâmetros!$B$6),"-"))))</f>
        <v>-</v>
      </c>
      <c r="P454" s="59" t="str">
        <f xml:space="preserve">
IF(OR(ISBLANK(B454),ISBLANK(C454),B454="N/A",ISBLANK('Dados da OS'!$D$8)),"",
   IF(OR('Dados da OS'!$D$8=Parâmetros!$B$3,'Dados da OS'!$D$8=Parâmetros!$B$4),
      IF(OR(AND(B454="INM",N454&lt;&gt;"VF"),AND(N454="VF",B454&lt;&gt;"INM")),"",
        IF(AND(B454="INM",N454="VF"),IF(ISBLANK(H454),"",M454*H454),
        IF('Dados da OS'!$D$8=Parâmetros!$B$4,
           IF(OR(B454="CE",B454="EE"),4,IF(B454="SE",5,IF(B454="ALI",7,IF(B454="AIE",5,"")))),
        IF('Dados da OS'!$D$8=Parâmetros!$B$3,
           IF(OR(ISBLANK(D454),ISBLANK(F454)),"",
              IF(B454="ALI",IF(L454="L",7,IF(L454="A",10,15)),
                 IF(B454="AIE",IF(L454="L",5,IF(L454="A",7,10)),
                    IF(B454="SE",IF(L454="L",4,IF(L454="A",5,7)),
                       IF(OR(B454="EE",B454="CE"),IF(L454="L",3,IF(L454="A",4,6)),""))))))))),
   IF('Dados da OS'!$D$8=Parâmetros!$B$5,
      IF(OR(AND(B454="INM",N454&lt;&gt;"VF"),AND(N454="VF",B454&lt;&gt;"INM")),"",
         IF(B454="INM",IF(N454="VF",M454*H454,""),
            IF(B454="PE",4.6,
            IF(B454="AL",7,"")))),
   IF('Dados da OS'!$D$8=Parâmetros!$B$6,
      IF(B454="ALI",35,IF(B454="AIE",15,"")),""))
    )
)</f>
        <v/>
      </c>
      <c r="Q454" s="60" t="str">
        <f t="shared" si="49"/>
        <v/>
      </c>
      <c r="R454" s="61"/>
      <c r="S454" s="62"/>
      <c r="T454" s="80" t="s">
        <v>21</v>
      </c>
      <c r="U454" s="81"/>
      <c r="V454" s="99"/>
      <c r="W454" s="55"/>
      <c r="X454" s="55"/>
      <c r="Y454" s="56"/>
      <c r="Z454" s="55"/>
      <c r="AA454" s="56"/>
      <c r="AB454" s="55"/>
      <c r="AC454" s="57" t="str">
        <f t="shared" si="50"/>
        <v/>
      </c>
      <c r="AD454" s="57" t="str">
        <f t="shared" si="51"/>
        <v/>
      </c>
      <c r="AE454" s="57" t="str">
        <f xml:space="preserve">
IF(OR('Dados da OS'!$D$8=Parâmetros!$B$3,'Dados da OS'!$D$8=Parâmetros!$B$4),
  IF(OR(ISBLANK(X454),ISBLANK(Z454)),
     IF(OR(V454="ALI",V454="AIE"),"L",IF(ISBLANK(V454),"","A")),
     IF(V454="EE",IF(Z454&gt;=3,IF(X454&gt;=5,"H","A"),
     IF(Z454&gt;=2,IF(X454&gt;=16,"H",IF(X454&lt;=4,"L","A")),IF(X454&lt;=15,"L","A"))),
     IF(OR(V454="SE",V454="CE"),IF(Z454&gt;=4,IF(X454&gt;=6,"H","A"),IF(Z454&gt;=2,IF(X454&gt;=20,"H",IF(X454&lt;=5,"L","A")),IF(X454&lt;=19,"L","A"))),
     IF(OR(V454="ALI",V454="AIE"),IF(Z454&gt;=6,IF(X454&gt;=20,"H","A"),IF(Z454&gt;=2,IF(X454&gt;=51,"H",IF(X454&lt;=19,"L","A")),IF(X454&lt;=50,"L","A"))))))),
IF('Dados da OS'!$D$8=Parâmetros!$B$6,"Indicativa",
IF('Dados da OS'!$D$8=Parâmetros!$B$5,"PFS","")))</f>
        <v/>
      </c>
      <c r="AF454" s="57">
        <f>IFERROR(VLOOKUP(W454,'Fatores de Impacto e INMs'!$A$3:$D$32,3,0),1)</f>
        <v>1</v>
      </c>
      <c r="AG454" s="57">
        <f>IFERROR(VLOOKUP(W454,'Fatores de Impacto e INMs'!$A$3:$E$32,5,0),1)</f>
        <v>1</v>
      </c>
      <c r="AH454" s="82" t="str">
        <f xml:space="preserve">
IF(OR('Dados da OS'!$D$8="Selecione o tipo da contagem",ISBLANK('Dados da OS'!$D$8),V454="INM",V454="N/A",ISBLANK(V454),ISBLANK(W454),AG454="VF"),"-",
   IF('Dados da OS'!$D$8=Parâmetros!$B$3,
      IF(OR(ISBLANK(X454),ISBLANK(Z454)),"-",
         IF(AE454="L","Baixa",IF(AE454="A","Média",IF(AE454="H","Alta","-")))),
      IF('Dados da OS'!$D$8=Parâmetros!$B$4,
         IF(OR(V454="ALI",V454="AIE"),"Baixa",IF(OR(V454="EE",V454="SE",V454="CE"),"Média","-")),
         IF(OR('Dados da OS'!$D$8=Parâmetros!$B$5,'Dados da OS'!$D$8=Parâmetros!$B$6),"-"))))</f>
        <v>-</v>
      </c>
      <c r="AI454" s="83" t="str">
        <f xml:space="preserve">
IF(OR(ISBLANK(V454),ISBLANK(U454),ISBLANK(W454),V454="N/A",ISBLANK('Dados da OS'!$D$8)),"",
   IF(OR('Dados da OS'!$D$8=Parâmetros!$B$3,'Dados da OS'!$D$8=Parâmetros!$B$4),
      IF(OR(AND(V454="INM",AG454&lt;&gt;"VF"),AND(AG454="VF",V454&lt;&gt;"INM")),"",
        IF(AND(V454="INM",AG454="VF"),IF(ISBLANK(AB454),"",AF454*AB454),
        IF('Dados da OS'!$D$8=Parâmetros!$B$4,
           IF(OR(V454="CE",V454="EE"),4,IF(V454="SE",5,IF(V454="ALI",7,IF(V454="AIE",5,"")))),
        IF('Dados da OS'!$D$8=Parâmetros!$B$3,
           IF(OR(ISBLANK(X454),ISBLANK(Z454)),"",
              IF(V454="ALI",IF(AE454="L",7,IF(AE454="A",10,15)),
                 IF(V454="AIE",IF(AE454="L",5,IF(AE454="A",7,10)),
                    IF(V454="SE",IF(AE454="L",4,IF(AE454="A",5,7)),
                       IF(OR(V454="EE",V454="CE"),IF(AE454="L",3,IF(AE454="A",4,6)),""))))))))),
   IF('Dados da OS'!$D$8=Parâmetros!$B$5,
      IF(OR(AND(V454="INM",AG454&lt;&gt;"VF"),AND(AG454="VF",V454&lt;&gt;"INM")),"",
         IF(V454="INM",IF(AG454="VF",AF454*AB454,""),
            IF(V454="PE",4.6,
            IF(V454="AL",7,"")))),
   IF('Dados da OS'!$D$8=Parâmetros!$B$6,
      IF(V454="ALI",35,IF(V454="AIE",15,"")),""))
    )
)</f>
        <v/>
      </c>
      <c r="AJ454" s="82" t="str">
        <f t="shared" si="52"/>
        <v/>
      </c>
      <c r="AK454" s="84"/>
      <c r="AL454" s="85" t="s">
        <v>21</v>
      </c>
      <c r="AM454" s="86"/>
      <c r="AN454" s="85"/>
      <c r="AO454" s="87"/>
      <c r="AP454" s="85"/>
      <c r="AQ454" s="86"/>
      <c r="AR454" s="85"/>
    </row>
    <row r="455" spans="1:44" ht="15.75" customHeight="1">
      <c r="A455" s="54"/>
      <c r="B455" s="100"/>
      <c r="C455" s="55"/>
      <c r="D455" s="55"/>
      <c r="E455" s="56"/>
      <c r="F455" s="55"/>
      <c r="G455" s="56"/>
      <c r="H455" s="55"/>
      <c r="I455" s="64"/>
      <c r="J455" s="57" t="str">
        <f t="shared" si="47"/>
        <v/>
      </c>
      <c r="K455" s="57" t="str">
        <f t="shared" si="48"/>
        <v/>
      </c>
      <c r="L455" s="57" t="str">
        <f xml:space="preserve">
IF(OR('Dados da OS'!$D$8=Parâmetros!$B$3,'Dados da OS'!$D$8=Parâmetros!$B$4),
  IF(OR(ISBLANK(D455),ISBLANK(F455)),
     IF(OR(B455="ALI",B455="AIE"),"L",IF(ISBLANK(B455),"","A")),
     IF(B455="EE",IF(F455&gt;=3,IF(D455&gt;=5,"H","A"),
     IF(F455&gt;=2,IF(D455&gt;=16,"H",IF(D455&lt;=4,"L","A")),IF(D455&lt;=15,"L","A"))),
     IF(OR(B455="SE",B455="CE"),IF(F455&gt;=4,IF(D455&gt;=6,"H","A"),IF(F455&gt;=2,IF(D455&gt;=20,"H",IF(D455&lt;=5,"L","A")),IF(D455&lt;=19,"L","A"))),
     IF(OR(B455="ALI",B455="AIE"),IF(F455&gt;=6,IF(D455&gt;=20,"H","A"),IF(F455&gt;=2,IF(D455&gt;=51,"H",IF(D455&lt;=19,"L","A")),IF(D455&lt;=50,"L","A"))))))),
IF('Dados da OS'!$D$8=Parâmetros!$B$6,"Indicativa",
IF('Dados da OS'!$D$8=Parâmetros!$B$5,"PFS","")))</f>
        <v/>
      </c>
      <c r="M455" s="57">
        <f>IFERROR(VLOOKUP(C455,'Fatores de Impacto e INMs'!$A$3:$D$32,3,0),1)</f>
        <v>1</v>
      </c>
      <c r="N455" s="57">
        <f>IFERROR(VLOOKUP(C455,'Fatores de Impacto e INMs'!$A$3:$E$32,5,0),1)</f>
        <v>1</v>
      </c>
      <c r="O455" s="63" t="str">
        <f xml:space="preserve">
IF(OR('Dados da OS'!$D$8="Selecione o tipo da contagem",ISBLANK('Dados da OS'!$D$8),B455="INM",B455="N/A",ISBLANK(B455),ISBLANK(C455),N455="VF"),"-",
   IF('Dados da OS'!$D$8=Parâmetros!$B$3,
      IF(OR(ISBLANK(D455),ISBLANK(F455)),"-",
         IF(L455="L","Baixa",IF(L455="A","Média",IF(L455="H","Alta","-")))),
      IF('Dados da OS'!$D$8=Parâmetros!$B$4,
         IF(OR(B455="ALI",B455="AIE"),"Baixa",IF(OR(B455="EE",B455="SE",B455="CE"),"Média","-")),
         IF(OR('Dados da OS'!$D$8=Parâmetros!$B$5,'Dados da OS'!$D$8=Parâmetros!$B$6),"-"))))</f>
        <v>-</v>
      </c>
      <c r="P455" s="59" t="str">
        <f xml:space="preserve">
IF(OR(ISBLANK(B455),ISBLANK(C455),B455="N/A",ISBLANK('Dados da OS'!$D$8)),"",
   IF(OR('Dados da OS'!$D$8=Parâmetros!$B$3,'Dados da OS'!$D$8=Parâmetros!$B$4),
      IF(OR(AND(B455="INM",N455&lt;&gt;"VF"),AND(N455="VF",B455&lt;&gt;"INM")),"",
        IF(AND(B455="INM",N455="VF"),IF(ISBLANK(H455),"",M455*H455),
        IF('Dados da OS'!$D$8=Parâmetros!$B$4,
           IF(OR(B455="CE",B455="EE"),4,IF(B455="SE",5,IF(B455="ALI",7,IF(B455="AIE",5,"")))),
        IF('Dados da OS'!$D$8=Parâmetros!$B$3,
           IF(OR(ISBLANK(D455),ISBLANK(F455)),"",
              IF(B455="ALI",IF(L455="L",7,IF(L455="A",10,15)),
                 IF(B455="AIE",IF(L455="L",5,IF(L455="A",7,10)),
                    IF(B455="SE",IF(L455="L",4,IF(L455="A",5,7)),
                       IF(OR(B455="EE",B455="CE"),IF(L455="L",3,IF(L455="A",4,6)),""))))))))),
   IF('Dados da OS'!$D$8=Parâmetros!$B$5,
      IF(OR(AND(B455="INM",N455&lt;&gt;"VF"),AND(N455="VF",B455&lt;&gt;"INM")),"",
         IF(B455="INM",IF(N455="VF",M455*H455,""),
            IF(B455="PE",4.6,
            IF(B455="AL",7,"")))),
   IF('Dados da OS'!$D$8=Parâmetros!$B$6,
      IF(B455="ALI",35,IF(B455="AIE",15,"")),""))
    )
)</f>
        <v/>
      </c>
      <c r="Q455" s="60" t="str">
        <f t="shared" si="49"/>
        <v/>
      </c>
      <c r="R455" s="61"/>
      <c r="S455" s="62"/>
      <c r="T455" s="80" t="s">
        <v>21</v>
      </c>
      <c r="U455" s="81"/>
      <c r="V455" s="99"/>
      <c r="W455" s="55"/>
      <c r="X455" s="55"/>
      <c r="Y455" s="56"/>
      <c r="Z455" s="55"/>
      <c r="AA455" s="56"/>
      <c r="AB455" s="55"/>
      <c r="AC455" s="57" t="str">
        <f t="shared" si="50"/>
        <v/>
      </c>
      <c r="AD455" s="57" t="str">
        <f t="shared" si="51"/>
        <v/>
      </c>
      <c r="AE455" s="57" t="str">
        <f xml:space="preserve">
IF(OR('Dados da OS'!$D$8=Parâmetros!$B$3,'Dados da OS'!$D$8=Parâmetros!$B$4),
  IF(OR(ISBLANK(X455),ISBLANK(Z455)),
     IF(OR(V455="ALI",V455="AIE"),"L",IF(ISBLANK(V455),"","A")),
     IF(V455="EE",IF(Z455&gt;=3,IF(X455&gt;=5,"H","A"),
     IF(Z455&gt;=2,IF(X455&gt;=16,"H",IF(X455&lt;=4,"L","A")),IF(X455&lt;=15,"L","A"))),
     IF(OR(V455="SE",V455="CE"),IF(Z455&gt;=4,IF(X455&gt;=6,"H","A"),IF(Z455&gt;=2,IF(X455&gt;=20,"H",IF(X455&lt;=5,"L","A")),IF(X455&lt;=19,"L","A"))),
     IF(OR(V455="ALI",V455="AIE"),IF(Z455&gt;=6,IF(X455&gt;=20,"H","A"),IF(Z455&gt;=2,IF(X455&gt;=51,"H",IF(X455&lt;=19,"L","A")),IF(X455&lt;=50,"L","A"))))))),
IF('Dados da OS'!$D$8=Parâmetros!$B$6,"Indicativa",
IF('Dados da OS'!$D$8=Parâmetros!$B$5,"PFS","")))</f>
        <v/>
      </c>
      <c r="AF455" s="57">
        <f>IFERROR(VLOOKUP(W455,'Fatores de Impacto e INMs'!$A$3:$D$32,3,0),1)</f>
        <v>1</v>
      </c>
      <c r="AG455" s="57">
        <f>IFERROR(VLOOKUP(W455,'Fatores de Impacto e INMs'!$A$3:$E$32,5,0),1)</f>
        <v>1</v>
      </c>
      <c r="AH455" s="82" t="str">
        <f xml:space="preserve">
IF(OR('Dados da OS'!$D$8="Selecione o tipo da contagem",ISBLANK('Dados da OS'!$D$8),V455="INM",V455="N/A",ISBLANK(V455),ISBLANK(W455),AG455="VF"),"-",
   IF('Dados da OS'!$D$8=Parâmetros!$B$3,
      IF(OR(ISBLANK(X455),ISBLANK(Z455)),"-",
         IF(AE455="L","Baixa",IF(AE455="A","Média",IF(AE455="H","Alta","-")))),
      IF('Dados da OS'!$D$8=Parâmetros!$B$4,
         IF(OR(V455="ALI",V455="AIE"),"Baixa",IF(OR(V455="EE",V455="SE",V455="CE"),"Média","-")),
         IF(OR('Dados da OS'!$D$8=Parâmetros!$B$5,'Dados da OS'!$D$8=Parâmetros!$B$6),"-"))))</f>
        <v>-</v>
      </c>
      <c r="AI455" s="83" t="str">
        <f xml:space="preserve">
IF(OR(ISBLANK(V455),ISBLANK(U455),ISBLANK(W455),V455="N/A",ISBLANK('Dados da OS'!$D$8)),"",
   IF(OR('Dados da OS'!$D$8=Parâmetros!$B$3,'Dados da OS'!$D$8=Parâmetros!$B$4),
      IF(OR(AND(V455="INM",AG455&lt;&gt;"VF"),AND(AG455="VF",V455&lt;&gt;"INM")),"",
        IF(AND(V455="INM",AG455="VF"),IF(ISBLANK(AB455),"",AF455*AB455),
        IF('Dados da OS'!$D$8=Parâmetros!$B$4,
           IF(OR(V455="CE",V455="EE"),4,IF(V455="SE",5,IF(V455="ALI",7,IF(V455="AIE",5,"")))),
        IF('Dados da OS'!$D$8=Parâmetros!$B$3,
           IF(OR(ISBLANK(X455),ISBLANK(Z455)),"",
              IF(V455="ALI",IF(AE455="L",7,IF(AE455="A",10,15)),
                 IF(V455="AIE",IF(AE455="L",5,IF(AE455="A",7,10)),
                    IF(V455="SE",IF(AE455="L",4,IF(AE455="A",5,7)),
                       IF(OR(V455="EE",V455="CE"),IF(AE455="L",3,IF(AE455="A",4,6)),""))))))))),
   IF('Dados da OS'!$D$8=Parâmetros!$B$5,
      IF(OR(AND(V455="INM",AG455&lt;&gt;"VF"),AND(AG455="VF",V455&lt;&gt;"INM")),"",
         IF(V455="INM",IF(AG455="VF",AF455*AB455,""),
            IF(V455="PE",4.6,
            IF(V455="AL",7,"")))),
   IF('Dados da OS'!$D$8=Parâmetros!$B$6,
      IF(V455="ALI",35,IF(V455="AIE",15,"")),""))
    )
)</f>
        <v/>
      </c>
      <c r="AJ455" s="82" t="str">
        <f t="shared" si="52"/>
        <v/>
      </c>
      <c r="AK455" s="84"/>
      <c r="AL455" s="85" t="s">
        <v>21</v>
      </c>
      <c r="AM455" s="86"/>
      <c r="AN455" s="85"/>
      <c r="AO455" s="87"/>
      <c r="AP455" s="85"/>
      <c r="AQ455" s="86"/>
      <c r="AR455" s="85"/>
    </row>
    <row r="456" spans="1:44">
      <c r="A456" s="65" t="s">
        <v>21</v>
      </c>
      <c r="B456" s="101" t="s">
        <v>21</v>
      </c>
      <c r="C456" s="65" t="s">
        <v>21</v>
      </c>
      <c r="D456" s="65" t="s">
        <v>21</v>
      </c>
      <c r="E456" s="65" t="s">
        <v>21</v>
      </c>
      <c r="F456" s="65" t="s">
        <v>21</v>
      </c>
      <c r="G456" s="65" t="s">
        <v>21</v>
      </c>
      <c r="H456" s="65" t="s">
        <v>21</v>
      </c>
      <c r="I456" s="65" t="s">
        <v>21</v>
      </c>
      <c r="J456" s="66" t="s">
        <v>21</v>
      </c>
      <c r="K456" s="66" t="s">
        <v>21</v>
      </c>
      <c r="L456" s="66" t="s">
        <v>21</v>
      </c>
      <c r="M456" s="66" t="s">
        <v>21</v>
      </c>
      <c r="N456" s="66" t="s">
        <v>21</v>
      </c>
      <c r="O456" s="66" t="s">
        <v>150</v>
      </c>
      <c r="P456" s="67">
        <f>SUM(P4:P455)</f>
        <v>173</v>
      </c>
      <c r="Q456" s="67">
        <f>SUM(Q4:Q455)</f>
        <v>86.5</v>
      </c>
      <c r="R456" s="68" t="s">
        <v>21</v>
      </c>
      <c r="S456" s="68" t="s">
        <v>21</v>
      </c>
      <c r="T456" s="68" t="s">
        <v>21</v>
      </c>
      <c r="U456" s="68" t="s">
        <v>21</v>
      </c>
      <c r="V456" s="68" t="s">
        <v>21</v>
      </c>
      <c r="W456" s="68" t="s">
        <v>21</v>
      </c>
      <c r="X456" s="68" t="s">
        <v>21</v>
      </c>
      <c r="Y456" s="68" t="s">
        <v>21</v>
      </c>
      <c r="Z456" s="68" t="s">
        <v>21</v>
      </c>
      <c r="AA456" s="68" t="s">
        <v>21</v>
      </c>
      <c r="AB456" s="68" t="s">
        <v>21</v>
      </c>
      <c r="AC456" s="68"/>
      <c r="AD456" s="68"/>
      <c r="AE456" s="68"/>
      <c r="AF456" s="68"/>
      <c r="AG456" s="68"/>
      <c r="AH456" s="68" t="s">
        <v>51</v>
      </c>
      <c r="AI456" s="88">
        <f>SUM(AI4:AI455)</f>
        <v>173</v>
      </c>
      <c r="AJ456" s="88">
        <f>SUM(AJ4:AJ455)</f>
        <v>86.5</v>
      </c>
      <c r="AK456" s="89" t="s">
        <v>21</v>
      </c>
      <c r="AL456" s="90" t="s">
        <v>21</v>
      </c>
      <c r="AM456" s="89" t="s">
        <v>21</v>
      </c>
      <c r="AN456" s="90" t="s">
        <v>21</v>
      </c>
      <c r="AO456" s="89" t="s">
        <v>21</v>
      </c>
      <c r="AP456" s="90" t="s">
        <v>21</v>
      </c>
      <c r="AQ456" s="89" t="s">
        <v>21</v>
      </c>
      <c r="AR456" s="90" t="s">
        <v>21</v>
      </c>
    </row>
  </sheetData>
  <sheetProtection sheet="1" formatCells="0" formatColumns="0" formatRows="0" insertRows="0" deleteRows="0"/>
  <protectedRanges>
    <protectedRange sqref="AM4:AM455 AO4:AO455 AQ4:AQ455 AK4:AK455" name="Intervalo2"/>
    <protectedRange sqref="R4:S455 A4:A455 C4:I455 U4:U455 W4:AB455" name="Intervalo1"/>
  </protectedRanges>
  <mergeCells count="38">
    <mergeCell ref="AQ1:AQ3"/>
    <mergeCell ref="AK1:AK3"/>
    <mergeCell ref="AG2:AG3"/>
    <mergeCell ref="AH2:AH3"/>
    <mergeCell ref="AI2:AJ2"/>
    <mergeCell ref="AM1:AM3"/>
    <mergeCell ref="AO1:AO3"/>
    <mergeCell ref="U1:AJ1"/>
    <mergeCell ref="Z2:Z3"/>
    <mergeCell ref="AA2:AA3"/>
    <mergeCell ref="AB2:AB3"/>
    <mergeCell ref="AC2:AC3"/>
    <mergeCell ref="AD2:AD3"/>
    <mergeCell ref="AE2:AE3"/>
    <mergeCell ref="AF2:AF3"/>
    <mergeCell ref="X2:X3"/>
    <mergeCell ref="Y2:Y3"/>
    <mergeCell ref="J2:J3"/>
    <mergeCell ref="K2:K3"/>
    <mergeCell ref="L2:L3"/>
    <mergeCell ref="M2:M3"/>
    <mergeCell ref="N2:N3"/>
    <mergeCell ref="R2:S2"/>
    <mergeCell ref="O2:O3"/>
    <mergeCell ref="P2:Q2"/>
    <mergeCell ref="U2:U3"/>
    <mergeCell ref="V2:V3"/>
    <mergeCell ref="W2:W3"/>
    <mergeCell ref="A1:S1"/>
    <mergeCell ref="C2:C3"/>
    <mergeCell ref="D2:D3"/>
    <mergeCell ref="E2:E3"/>
    <mergeCell ref="F2:F3"/>
    <mergeCell ref="G2:G3"/>
    <mergeCell ref="H2:H3"/>
    <mergeCell ref="I2:I3"/>
    <mergeCell ref="A2:A3"/>
    <mergeCell ref="B2:B3"/>
  </mergeCells>
  <phoneticPr fontId="39" type="noConversion"/>
  <conditionalFormatting sqref="A4:AQ455">
    <cfRule type="expression" dxfId="3" priority="1771">
      <formula>$U4="NOK"</formula>
    </cfRule>
    <cfRule type="expression" dxfId="2" priority="1772">
      <formula>$U4="OK"</formula>
    </cfRule>
  </conditionalFormatting>
  <dataValidations count="3">
    <dataValidation type="list" allowBlank="1" showInputMessage="1" showErrorMessage="1" sqref="U4:U455" xr:uid="{00000000-0002-0000-0100-000000000000}">
      <formula1>"OK,NOK"</formula1>
      <formula2>0</formula2>
    </dataValidation>
    <dataValidation type="list" allowBlank="1" showInputMessage="1" showErrorMessage="1" sqref="C4:C455 W4:W455" xr:uid="{00000000-0002-0000-0100-000002000000}">
      <formula1>ListaDeflator</formula1>
    </dataValidation>
    <dataValidation type="whole" allowBlank="1" showInputMessage="1" showErrorMessage="1" errorTitle="TotalINM" error="Campo preenchido conforme o FI/INM selecionado._x000a_  - Tipo de funcionalidade = INM e FI com valor fixo, informe a quantidade._x000a_  -  FI de valor percentual, deixar em branco." sqref="H4:H455 AB4:AB455" xr:uid="{D2C089C4-906A-40A8-990C-F200AADA64A2}">
      <formula1>0</formula1>
      <formula2>100000</formula2>
    </dataValidation>
  </dataValidations>
  <pageMargins left="0.39374999999999999" right="0.39374999999999999" top="1.0631944444444399" bottom="0.78749999999999998" header="0.51180555555555496" footer="0.51180555555555496"/>
  <pageSetup paperSize="9" firstPageNumber="0" orientation="landscape" horizontalDpi="300" verticalDpi="300" r:id="rId1"/>
  <headerFooter>
    <oddHeader>&amp;L&amp;"Aptos"&amp;10&amp;K0000FF Classificação: RESTRITA&amp;1#_x000D_</oddHeader>
  </headerFooter>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r:uid="{A4FA6D84-1A32-4937-8324-1B52A675BFAE}">
          <x14:formula1>
            <xm:f>INDIRECT('Dados da OS'!$D$8)</xm:f>
          </x14:formula1>
          <xm:sqref>B4:B455 V4:V455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217"/>
  <sheetViews>
    <sheetView zoomScaleNormal="100" workbookViewId="0">
      <selection activeCell="C17" sqref="C17"/>
    </sheetView>
  </sheetViews>
  <sheetFormatPr defaultColWidth="0" defaultRowHeight="12.75" customHeight="1" zeroHeight="1"/>
  <cols>
    <col min="1" max="1" width="1.88671875" style="8" customWidth="1"/>
    <col min="2" max="2" width="4" style="12" bestFit="1" customWidth="1"/>
    <col min="3" max="3" width="72.6640625" style="8" customWidth="1"/>
    <col min="4" max="5" width="14.88671875" style="8" customWidth="1"/>
    <col min="6" max="6" width="3.33203125" style="8" customWidth="1"/>
    <col min="7" max="16384" width="9.109375" style="8" hidden="1"/>
  </cols>
  <sheetData>
    <row r="1" spans="2:5" ht="34.5" customHeight="1">
      <c r="B1" s="187" t="str">
        <f xml:space="preserve">
IF('Dados da OS'!D8=Parâmetros!B2,Parâmetros!D2,
IF('Dados da OS'!D8=Parâmetros!B3,Parâmetros!D3,
IF('Dados da OS'!D8=Parâmetros!B4,Parâmetros!D4,
IF('Dados da OS'!D8=Parâmetros!B5,Parâmetros!D5,
IF('Dados da OS'!D8=Parâmetros!B6,Parâmetros!D6,"")))))</f>
        <v>Pontos de Função Detalhados por Requisito</v>
      </c>
      <c r="C1" s="188"/>
      <c r="D1" s="188"/>
      <c r="E1" s="188"/>
    </row>
    <row r="2" spans="2:5" ht="12.75" customHeight="1">
      <c r="B2" s="191" t="s">
        <v>45</v>
      </c>
      <c r="C2" s="191" t="s">
        <v>22</v>
      </c>
      <c r="D2" s="189" t="s">
        <v>157</v>
      </c>
      <c r="E2" s="190"/>
    </row>
    <row r="3" spans="2:5" ht="12.75" customHeight="1">
      <c r="B3" s="192"/>
      <c r="C3" s="192"/>
      <c r="D3" s="49" t="str">
        <f>_xlfn.CONCAT(SUM(D4:D103)," PFB")</f>
        <v>0 PFB</v>
      </c>
      <c r="E3" s="49" t="str">
        <f>_xlfn.CONCAT(SUM(E4:E103)," PFL")</f>
        <v>0 PFL</v>
      </c>
    </row>
    <row r="4" spans="2:5" ht="13.8">
      <c r="B4" s="9">
        <v>1</v>
      </c>
      <c r="C4" s="10" t="str">
        <f>IF(ISERROR(VLOOKUP(B4,Funções!$R$4:$S$455,2,0)),
        "",
         VLOOKUP(B4,Funções!$R$4:$S$455,2,0)
)</f>
        <v/>
      </c>
      <c r="D4" s="11">
        <f>SUMIF(Funções!$R$4:$R$455,B4,Funções!$P$4:$P$455)</f>
        <v>0</v>
      </c>
      <c r="E4" s="11">
        <f>SUMIF(Funções!$R$4:$R$455,B4,Funções!$Q$4:$Q$455)</f>
        <v>0</v>
      </c>
    </row>
    <row r="5" spans="2:5" ht="13.8">
      <c r="B5" s="9">
        <v>2</v>
      </c>
      <c r="C5" s="10" t="str">
        <f>IF(ISERROR(VLOOKUP(B5,Funções!$R$4:$S$455,2,0)),
        "",
         VLOOKUP(B5,Funções!$R$4:$S$455,2,0)
)</f>
        <v/>
      </c>
      <c r="D5" s="11">
        <f>SUMIF(Funções!$R$4:$R$455,B5,Funções!$P$4:$P$455)</f>
        <v>0</v>
      </c>
      <c r="E5" s="11">
        <f>SUMIF(Funções!$R$4:$R$455,B5,Funções!$Q$4:$Q$455)</f>
        <v>0</v>
      </c>
    </row>
    <row r="6" spans="2:5" ht="13.8">
      <c r="B6" s="9">
        <v>3</v>
      </c>
      <c r="C6" s="10" t="str">
        <f>IF(ISERROR(VLOOKUP(B6,Funções!$R$4:$S$455,2,0)),
        "",
         VLOOKUP(B6,Funções!$R$4:$S$455,2,0)
)</f>
        <v/>
      </c>
      <c r="D6" s="11">
        <f>SUMIF(Funções!$R$4:$R$455,B6,Funções!$P$4:$P$455)</f>
        <v>0</v>
      </c>
      <c r="E6" s="11">
        <f>SUMIF(Funções!$R$4:$R$455,B6,Funções!$Q$4:$Q$455)</f>
        <v>0</v>
      </c>
    </row>
    <row r="7" spans="2:5" ht="13.8">
      <c r="B7" s="9">
        <v>4</v>
      </c>
      <c r="C7" s="10" t="str">
        <f>IF(ISERROR(VLOOKUP(B7,Funções!$R$4:$S$455,2,0)),
        "",
         VLOOKUP(B7,Funções!$R$4:$S$455,2,0)
)</f>
        <v/>
      </c>
      <c r="D7" s="11">
        <f>SUMIF(Funções!$R$4:$R$455,B7,Funções!$P$4:$P$455)</f>
        <v>0</v>
      </c>
      <c r="E7" s="11">
        <f>SUMIF(Funções!$R$4:$R$455,B7,Funções!$Q$4:$Q$455)</f>
        <v>0</v>
      </c>
    </row>
    <row r="8" spans="2:5" ht="13.8">
      <c r="B8" s="9">
        <v>5</v>
      </c>
      <c r="C8" s="10" t="str">
        <f>IF(ISERROR(VLOOKUP(B8,Funções!$R$4:$S$455,2,0)),
        "",
         VLOOKUP(B8,Funções!$R$4:$S$455,2,0)
)</f>
        <v/>
      </c>
      <c r="D8" s="11">
        <f>SUMIF(Funções!$R$4:$R$455,B8,Funções!$P$4:$P$455)</f>
        <v>0</v>
      </c>
      <c r="E8" s="11">
        <f>SUMIF(Funções!$R$4:$R$455,B8,Funções!$Q$4:$Q$455)</f>
        <v>0</v>
      </c>
    </row>
    <row r="9" spans="2:5" ht="13.8">
      <c r="B9" s="9">
        <v>6</v>
      </c>
      <c r="C9" s="10" t="str">
        <f>IF(ISERROR(VLOOKUP(B9,Funções!$R$4:$S$455,2,0)),
        "",
         VLOOKUP(B9,Funções!$R$4:$S$455,2,0)
)</f>
        <v/>
      </c>
      <c r="D9" s="11">
        <f>SUMIF(Funções!$R$4:$R$455,B9,Funções!$P$4:$P$455)</f>
        <v>0</v>
      </c>
      <c r="E9" s="11">
        <f>SUMIF(Funções!$R$4:$R$455,B9,Funções!$Q$4:$Q$455)</f>
        <v>0</v>
      </c>
    </row>
    <row r="10" spans="2:5" ht="13.8">
      <c r="B10" s="9">
        <v>7</v>
      </c>
      <c r="C10" s="10" t="str">
        <f>IF(ISERROR(VLOOKUP(B10,Funções!$R$4:$S$455,2,0)),
        "",
         VLOOKUP(B10,Funções!$R$4:$S$455,2,0)
)</f>
        <v/>
      </c>
      <c r="D10" s="11">
        <f>SUMIF(Funções!$R$4:$R$455,B10,Funções!$P$4:$P$455)</f>
        <v>0</v>
      </c>
      <c r="E10" s="11">
        <f>SUMIF(Funções!$R$4:$R$455,B10,Funções!$Q$4:$Q$455)</f>
        <v>0</v>
      </c>
    </row>
    <row r="11" spans="2:5" ht="13.8">
      <c r="B11" s="9">
        <v>8</v>
      </c>
      <c r="C11" s="10" t="str">
        <f>IF(ISERROR(VLOOKUP(B11,Funções!$R$4:$S$455,2,0)),
        "",
         VLOOKUP(B11,Funções!$R$4:$S$455,2,0)
)</f>
        <v/>
      </c>
      <c r="D11" s="11">
        <f>SUMIF(Funções!$R$4:$R$455,B11,Funções!$P$4:$P$455)</f>
        <v>0</v>
      </c>
      <c r="E11" s="11">
        <f>SUMIF(Funções!$R$4:$R$455,B11,Funções!$Q$4:$Q$455)</f>
        <v>0</v>
      </c>
    </row>
    <row r="12" spans="2:5" ht="13.8">
      <c r="B12" s="9">
        <v>9</v>
      </c>
      <c r="C12" s="10" t="str">
        <f>IF(ISERROR(VLOOKUP(B12,Funções!$R$4:$S$455,2,0)),
        "",
         VLOOKUP(B12,Funções!$R$4:$S$455,2,0)
)</f>
        <v/>
      </c>
      <c r="D12" s="11">
        <f>SUMIF(Funções!$R$4:$R$455,B12,Funções!$P$4:$P$455)</f>
        <v>0</v>
      </c>
      <c r="E12" s="11">
        <f>SUMIF(Funções!$R$4:$R$455,B12,Funções!$Q$4:$Q$455)</f>
        <v>0</v>
      </c>
    </row>
    <row r="13" spans="2:5" ht="13.8">
      <c r="B13" s="9">
        <v>10</v>
      </c>
      <c r="C13" s="10" t="str">
        <f>IF(ISERROR(VLOOKUP(B13,Funções!$R$4:$S$455,2,0)),
        "",
         VLOOKUP(B13,Funções!$R$4:$S$455,2,0)
)</f>
        <v/>
      </c>
      <c r="D13" s="11">
        <f>SUMIF(Funções!$R$4:$R$455,B13,Funções!$P$4:$P$455)</f>
        <v>0</v>
      </c>
      <c r="E13" s="11">
        <f>SUMIF(Funções!$R$4:$R$455,B13,Funções!$Q$4:$Q$455)</f>
        <v>0</v>
      </c>
    </row>
    <row r="14" spans="2:5" ht="13.8">
      <c r="B14" s="9">
        <v>11</v>
      </c>
      <c r="C14" s="10" t="str">
        <f>IF(ISERROR(VLOOKUP(B14,Funções!$R$4:$S$455,2,0)),
        "",
         VLOOKUP(B14,Funções!$R$4:$S$455,2,0)
)</f>
        <v/>
      </c>
      <c r="D14" s="11">
        <f>SUMIF(Funções!$R$4:$R$455,B14,Funções!$P$4:$P$455)</f>
        <v>0</v>
      </c>
      <c r="E14" s="11">
        <f>SUMIF(Funções!$R$4:$R$455,B14,Funções!$Q$4:$Q$455)</f>
        <v>0</v>
      </c>
    </row>
    <row r="15" spans="2:5" ht="13.8">
      <c r="B15" s="9">
        <v>12</v>
      </c>
      <c r="C15" s="10" t="str">
        <f>IF(ISERROR(VLOOKUP(B15,Funções!$R$4:$S$455,2,0)),
        "",
         VLOOKUP(B15,Funções!$R$4:$S$455,2,0)
)</f>
        <v/>
      </c>
      <c r="D15" s="11">
        <f>SUMIF(Funções!$R$4:$R$455,B15,Funções!$P$4:$P$455)</f>
        <v>0</v>
      </c>
      <c r="E15" s="11">
        <f>SUMIF(Funções!$R$4:$R$455,B15,Funções!$Q$4:$Q$455)</f>
        <v>0</v>
      </c>
    </row>
    <row r="16" spans="2:5" ht="13.8">
      <c r="B16" s="9">
        <v>13</v>
      </c>
      <c r="C16" s="10" t="str">
        <f>IF(ISERROR(VLOOKUP(B16,Funções!$R$4:$S$455,2,0)),
        "",
         VLOOKUP(B16,Funções!$R$4:$S$455,2,0)
)</f>
        <v/>
      </c>
      <c r="D16" s="11">
        <f>SUMIF(Funções!$R$4:$R$455,B16,Funções!$P$4:$P$455)</f>
        <v>0</v>
      </c>
      <c r="E16" s="11">
        <f>SUMIF(Funções!$R$4:$R$455,B16,Funções!$Q$4:$Q$455)</f>
        <v>0</v>
      </c>
    </row>
    <row r="17" spans="2:5" ht="13.8">
      <c r="B17" s="9">
        <v>14</v>
      </c>
      <c r="C17" s="10" t="str">
        <f>IF(ISERROR(VLOOKUP(B17,Funções!$R$4:$S$455,2,0)),
        "",
         VLOOKUP(B17,Funções!$R$4:$S$455,2,0)
)</f>
        <v/>
      </c>
      <c r="D17" s="11">
        <f>SUMIF(Funções!$R$4:$R$455,B17,Funções!$P$4:$P$455)</f>
        <v>0</v>
      </c>
      <c r="E17" s="11">
        <f>SUMIF(Funções!$R$4:$R$455,B17,Funções!$Q$4:$Q$455)</f>
        <v>0</v>
      </c>
    </row>
    <row r="18" spans="2:5" ht="13.8">
      <c r="B18" s="9">
        <v>15</v>
      </c>
      <c r="C18" s="10" t="str">
        <f>IF(ISERROR(VLOOKUP(B18,Funções!$R$4:$S$455,2,0)),
        "",
         VLOOKUP(B18,Funções!$R$4:$S$455,2,0)
)</f>
        <v/>
      </c>
      <c r="D18" s="11">
        <f>SUMIF(Funções!$R$4:$R$455,B18,Funções!$P$4:$P$455)</f>
        <v>0</v>
      </c>
      <c r="E18" s="11">
        <f>SUMIF(Funções!$R$4:$R$455,B18,Funções!$Q$4:$Q$455)</f>
        <v>0</v>
      </c>
    </row>
    <row r="19" spans="2:5" ht="13.8">
      <c r="B19" s="9">
        <v>16</v>
      </c>
      <c r="C19" s="10" t="str">
        <f>IF(ISERROR(VLOOKUP(B19,Funções!$R$4:$S$455,2,0)),
        "",
         VLOOKUP(B19,Funções!$R$4:$S$455,2,0)
)</f>
        <v/>
      </c>
      <c r="D19" s="11">
        <f>SUMIF(Funções!$R$4:$R$455,B19,Funções!$P$4:$P$455)</f>
        <v>0</v>
      </c>
      <c r="E19" s="11">
        <f>SUMIF(Funções!$R$4:$R$455,B19,Funções!$Q$4:$Q$455)</f>
        <v>0</v>
      </c>
    </row>
    <row r="20" spans="2:5" ht="13.8">
      <c r="B20" s="9">
        <v>17</v>
      </c>
      <c r="C20" s="10" t="str">
        <f>IF(ISERROR(VLOOKUP(B20,Funções!$R$4:$S$455,2,0)),
        "",
         VLOOKUP(B20,Funções!$R$4:$S$455,2,0)
)</f>
        <v/>
      </c>
      <c r="D20" s="11">
        <f>SUMIF(Funções!$R$4:$R$455,B20,Funções!$P$4:$P$455)</f>
        <v>0</v>
      </c>
      <c r="E20" s="11">
        <f>SUMIF(Funções!$R$4:$R$455,B20,Funções!$Q$4:$Q$455)</f>
        <v>0</v>
      </c>
    </row>
    <row r="21" spans="2:5" ht="13.8">
      <c r="B21" s="9">
        <v>18</v>
      </c>
      <c r="C21" s="10" t="str">
        <f>IF(ISERROR(VLOOKUP(B21,Funções!$R$4:$S$455,2,0)),
        "",
         VLOOKUP(B21,Funções!$R$4:$S$455,2,0)
)</f>
        <v/>
      </c>
      <c r="D21" s="11">
        <f>SUMIF(Funções!$R$4:$R$455,B21,Funções!$P$4:$P$455)</f>
        <v>0</v>
      </c>
      <c r="E21" s="11">
        <f>SUMIF(Funções!$R$4:$R$455,B21,Funções!$Q$4:$Q$455)</f>
        <v>0</v>
      </c>
    </row>
    <row r="22" spans="2:5" ht="13.8">
      <c r="B22" s="9">
        <v>19</v>
      </c>
      <c r="C22" s="10" t="str">
        <f>IF(ISERROR(VLOOKUP(B22,Funções!$R$4:$S$455,2,0)),
        "",
         VLOOKUP(B22,Funções!$R$4:$S$455,2,0)
)</f>
        <v/>
      </c>
      <c r="D22" s="11">
        <f>SUMIF(Funções!$R$4:$R$455,B22,Funções!$P$4:$P$455)</f>
        <v>0</v>
      </c>
      <c r="E22" s="11">
        <f>SUMIF(Funções!$R$4:$R$455,B22,Funções!$Q$4:$Q$455)</f>
        <v>0</v>
      </c>
    </row>
    <row r="23" spans="2:5" ht="13.8">
      <c r="B23" s="9">
        <v>20</v>
      </c>
      <c r="C23" s="10" t="str">
        <f>IF(ISERROR(VLOOKUP(B23,Funções!$R$4:$S$455,2,0)),
        "",
         VLOOKUP(B23,Funções!$R$4:$S$455,2,0)
)</f>
        <v/>
      </c>
      <c r="D23" s="11">
        <f>SUMIF(Funções!$R$4:$R$455,B23,Funções!$P$4:$P$455)</f>
        <v>0</v>
      </c>
      <c r="E23" s="11">
        <f>SUMIF(Funções!$R$4:$R$455,B23,Funções!$Q$4:$Q$455)</f>
        <v>0</v>
      </c>
    </row>
    <row r="24" spans="2:5" ht="13.8">
      <c r="B24" s="9">
        <v>21</v>
      </c>
      <c r="C24" s="10" t="str">
        <f>IF(ISERROR(VLOOKUP(B24,Funções!$R$4:$S$455,2,0)),
        "",
         VLOOKUP(B24,Funções!$R$4:$S$455,2,0)
)</f>
        <v/>
      </c>
      <c r="D24" s="11">
        <f>SUMIF(Funções!$R$4:$R$455,B24,Funções!$P$4:$P$455)</f>
        <v>0</v>
      </c>
      <c r="E24" s="11">
        <f>SUMIF(Funções!$R$4:$R$455,B24,Funções!$Q$4:$Q$455)</f>
        <v>0</v>
      </c>
    </row>
    <row r="25" spans="2:5" ht="13.8">
      <c r="B25" s="9">
        <v>22</v>
      </c>
      <c r="C25" s="10" t="str">
        <f>IF(ISERROR(VLOOKUP(B25,Funções!$R$4:$S$455,2,0)),
        "",
         VLOOKUP(B25,Funções!$R$4:$S$455,2,0)
)</f>
        <v/>
      </c>
      <c r="D25" s="11">
        <f>SUMIF(Funções!$R$4:$R$455,B25,Funções!$P$4:$P$455)</f>
        <v>0</v>
      </c>
      <c r="E25" s="11">
        <f>SUMIF(Funções!$R$4:$R$455,B25,Funções!$Q$4:$Q$455)</f>
        <v>0</v>
      </c>
    </row>
    <row r="26" spans="2:5" ht="13.8">
      <c r="B26" s="9">
        <v>23</v>
      </c>
      <c r="C26" s="10" t="str">
        <f>IF(ISERROR(VLOOKUP(B26,Funções!$R$4:$S$455,2,0)),
        "",
         VLOOKUP(B26,Funções!$R$4:$S$455,2,0)
)</f>
        <v/>
      </c>
      <c r="D26" s="11">
        <f>SUMIF(Funções!$R$4:$R$455,B26,Funções!$P$4:$P$455)</f>
        <v>0</v>
      </c>
      <c r="E26" s="11">
        <f>SUMIF(Funções!$R$4:$R$455,B26,Funções!$Q$4:$Q$455)</f>
        <v>0</v>
      </c>
    </row>
    <row r="27" spans="2:5" ht="13.8">
      <c r="B27" s="9">
        <v>24</v>
      </c>
      <c r="C27" s="10" t="str">
        <f>IF(ISERROR(VLOOKUP(B27,Funções!$R$4:$S$455,2,0)),
        "",
         VLOOKUP(B27,Funções!$R$4:$S$455,2,0)
)</f>
        <v/>
      </c>
      <c r="D27" s="11">
        <f>SUMIF(Funções!$R$4:$R$455,B27,Funções!$P$4:$P$455)</f>
        <v>0</v>
      </c>
      <c r="E27" s="11">
        <f>SUMIF(Funções!$R$4:$R$455,B27,Funções!$Q$4:$Q$455)</f>
        <v>0</v>
      </c>
    </row>
    <row r="28" spans="2:5" ht="13.8">
      <c r="B28" s="9">
        <v>25</v>
      </c>
      <c r="C28" s="10" t="str">
        <f>IF(ISERROR(VLOOKUP(B28,Funções!$R$4:$S$455,2,0)),
        "",
         VLOOKUP(B28,Funções!$R$4:$S$455,2,0)
)</f>
        <v/>
      </c>
      <c r="D28" s="11">
        <f>SUMIF(Funções!$R$4:$R$455,B28,Funções!$P$4:$P$455)</f>
        <v>0</v>
      </c>
      <c r="E28" s="11">
        <f>SUMIF(Funções!$R$4:$R$455,B28,Funções!$Q$4:$Q$455)</f>
        <v>0</v>
      </c>
    </row>
    <row r="29" spans="2:5" ht="13.8">
      <c r="B29" s="9">
        <v>26</v>
      </c>
      <c r="C29" s="10" t="str">
        <f>IF(ISERROR(VLOOKUP(B29,Funções!$R$4:$S$455,2,0)),
        "",
         VLOOKUP(B29,Funções!$R$4:$S$455,2,0)
)</f>
        <v/>
      </c>
      <c r="D29" s="11">
        <f>SUMIF(Funções!$R$4:$R$455,B29,Funções!$P$4:$P$455)</f>
        <v>0</v>
      </c>
      <c r="E29" s="11">
        <f>SUMIF(Funções!$R$4:$R$455,B29,Funções!$Q$4:$Q$455)</f>
        <v>0</v>
      </c>
    </row>
    <row r="30" spans="2:5" ht="13.8">
      <c r="B30" s="9">
        <v>27</v>
      </c>
      <c r="C30" s="10" t="str">
        <f>IF(ISERROR(VLOOKUP(B30,Funções!$R$4:$S$455,2,0)),
        "",
         VLOOKUP(B30,Funções!$R$4:$S$455,2,0)
)</f>
        <v/>
      </c>
      <c r="D30" s="11">
        <f>SUMIF(Funções!$R$4:$R$455,B30,Funções!$P$4:$P$455)</f>
        <v>0</v>
      </c>
      <c r="E30" s="11">
        <f>SUMIF(Funções!$R$4:$R$455,B30,Funções!$Q$4:$Q$455)</f>
        <v>0</v>
      </c>
    </row>
    <row r="31" spans="2:5" ht="13.8">
      <c r="B31" s="9">
        <v>28</v>
      </c>
      <c r="C31" s="10" t="str">
        <f>IF(ISERROR(VLOOKUP(B31,Funções!$R$4:$S$455,2,0)),
        "",
         VLOOKUP(B31,Funções!$R$4:$S$455,2,0)
)</f>
        <v/>
      </c>
      <c r="D31" s="11">
        <f>SUMIF(Funções!$R$4:$R$455,B31,Funções!$P$4:$P$455)</f>
        <v>0</v>
      </c>
      <c r="E31" s="11">
        <f>SUMIF(Funções!$R$4:$R$455,B31,Funções!$Q$4:$Q$455)</f>
        <v>0</v>
      </c>
    </row>
    <row r="32" spans="2:5" ht="13.8">
      <c r="B32" s="9">
        <v>29</v>
      </c>
      <c r="C32" s="10" t="str">
        <f>IF(ISERROR(VLOOKUP(B32,Funções!$R$4:$S$455,2,0)),
        "",
         VLOOKUP(B32,Funções!$R$4:$S$455,2,0)
)</f>
        <v/>
      </c>
      <c r="D32" s="11">
        <f>SUMIF(Funções!$R$4:$R$455,B32,Funções!$P$4:$P$455)</f>
        <v>0</v>
      </c>
      <c r="E32" s="11">
        <f>SUMIF(Funções!$R$4:$R$455,B32,Funções!$Q$4:$Q$455)</f>
        <v>0</v>
      </c>
    </row>
    <row r="33" spans="2:5" ht="13.8">
      <c r="B33" s="9">
        <v>30</v>
      </c>
      <c r="C33" s="10" t="str">
        <f>IF(ISERROR(VLOOKUP(B33,Funções!$R$4:$S$455,2,0)),
        "",
         VLOOKUP(B33,Funções!$R$4:$S$455,2,0)
)</f>
        <v/>
      </c>
      <c r="D33" s="11">
        <f>SUMIF(Funções!$R$4:$R$455,B33,Funções!$P$4:$P$455)</f>
        <v>0</v>
      </c>
      <c r="E33" s="11">
        <f>SUMIF(Funções!$R$4:$R$455,B33,Funções!$Q$4:$Q$455)</f>
        <v>0</v>
      </c>
    </row>
    <row r="34" spans="2:5" ht="13.8">
      <c r="B34" s="9">
        <v>31</v>
      </c>
      <c r="C34" s="10" t="str">
        <f>IF(ISERROR(VLOOKUP(B34,Funções!$R$4:$S$455,2,0)),
        "",
         VLOOKUP(B34,Funções!$R$4:$S$455,2,0)
)</f>
        <v/>
      </c>
      <c r="D34" s="11">
        <f>SUMIF(Funções!$R$4:$R$455,B34,Funções!$P$4:$P$455)</f>
        <v>0</v>
      </c>
      <c r="E34" s="11">
        <f>SUMIF(Funções!$R$4:$R$455,B34,Funções!$Q$4:$Q$455)</f>
        <v>0</v>
      </c>
    </row>
    <row r="35" spans="2:5" ht="13.8">
      <c r="B35" s="9">
        <v>32</v>
      </c>
      <c r="C35" s="10" t="str">
        <f>IF(ISERROR(VLOOKUP(B35,Funções!$R$4:$S$455,2,0)),
        "",
         VLOOKUP(B35,Funções!$R$4:$S$455,2,0)
)</f>
        <v/>
      </c>
      <c r="D35" s="11">
        <f>SUMIF(Funções!$R$4:$R$455,B35,Funções!$P$4:$P$455)</f>
        <v>0</v>
      </c>
      <c r="E35" s="11">
        <f>SUMIF(Funções!$R$4:$R$455,B35,Funções!$Q$4:$Q$455)</f>
        <v>0</v>
      </c>
    </row>
    <row r="36" spans="2:5" ht="13.8">
      <c r="B36" s="9">
        <v>33</v>
      </c>
      <c r="C36" s="10" t="str">
        <f>IF(ISERROR(VLOOKUP(B36,Funções!$R$4:$S$455,2,0)),
        "",
         VLOOKUP(B36,Funções!$R$4:$S$455,2,0)
)</f>
        <v/>
      </c>
      <c r="D36" s="11">
        <f>SUMIF(Funções!$R$4:$R$455,B36,Funções!$P$4:$P$455)</f>
        <v>0</v>
      </c>
      <c r="E36" s="11">
        <f>SUMIF(Funções!$R$4:$R$455,B36,Funções!$Q$4:$Q$455)</f>
        <v>0</v>
      </c>
    </row>
    <row r="37" spans="2:5" ht="13.8">
      <c r="B37" s="9">
        <v>34</v>
      </c>
      <c r="C37" s="10" t="str">
        <f>IF(ISERROR(VLOOKUP(B37,Funções!$R$4:$S$455,2,0)),
        "",
         VLOOKUP(B37,Funções!$R$4:$S$455,2,0)
)</f>
        <v/>
      </c>
      <c r="D37" s="11">
        <f>SUMIF(Funções!$R$4:$R$455,B37,Funções!$P$4:$P$455)</f>
        <v>0</v>
      </c>
      <c r="E37" s="11">
        <f>SUMIF(Funções!$R$4:$R$455,B37,Funções!$Q$4:$Q$455)</f>
        <v>0</v>
      </c>
    </row>
    <row r="38" spans="2:5" ht="13.8">
      <c r="B38" s="9">
        <v>35</v>
      </c>
      <c r="C38" s="10" t="str">
        <f>IF(ISERROR(VLOOKUP(B38,Funções!$R$4:$S$455,2,0)),
        "",
         VLOOKUP(B38,Funções!$R$4:$S$455,2,0)
)</f>
        <v/>
      </c>
      <c r="D38" s="11">
        <f>SUMIF(Funções!$R$4:$R$455,B38,Funções!$P$4:$P$455)</f>
        <v>0</v>
      </c>
      <c r="E38" s="11">
        <f>SUMIF(Funções!$R$4:$R$455,B38,Funções!$Q$4:$Q$455)</f>
        <v>0</v>
      </c>
    </row>
    <row r="39" spans="2:5" ht="13.8">
      <c r="B39" s="9">
        <v>36</v>
      </c>
      <c r="C39" s="10" t="str">
        <f>IF(ISERROR(VLOOKUP(B39,Funções!$R$4:$S$455,2,0)),
        "",
         VLOOKUP(B39,Funções!$R$4:$S$455,2,0)
)</f>
        <v/>
      </c>
      <c r="D39" s="11">
        <f>SUMIF(Funções!$R$4:$R$455,B39,Funções!$P$4:$P$455)</f>
        <v>0</v>
      </c>
      <c r="E39" s="11">
        <f>SUMIF(Funções!$R$4:$R$455,B39,Funções!$Q$4:$Q$455)</f>
        <v>0</v>
      </c>
    </row>
    <row r="40" spans="2:5" ht="13.8">
      <c r="B40" s="9">
        <v>37</v>
      </c>
      <c r="C40" s="10" t="str">
        <f>IF(ISERROR(VLOOKUP(B40,Funções!$R$4:$S$455,2,0)),
        "",
         VLOOKUP(B40,Funções!$R$4:$S$455,2,0)
)</f>
        <v/>
      </c>
      <c r="D40" s="11">
        <f>SUMIF(Funções!$R$4:$R$455,B40,Funções!$P$4:$P$455)</f>
        <v>0</v>
      </c>
      <c r="E40" s="11">
        <f>SUMIF(Funções!$R$4:$R$455,B40,Funções!$Q$4:$Q$455)</f>
        <v>0</v>
      </c>
    </row>
    <row r="41" spans="2:5" ht="13.8">
      <c r="B41" s="9">
        <v>38</v>
      </c>
      <c r="C41" s="10" t="str">
        <f>IF(ISERROR(VLOOKUP(B41,Funções!$R$4:$S$455,2,0)),
        "",
         VLOOKUP(B41,Funções!$R$4:$S$455,2,0)
)</f>
        <v/>
      </c>
      <c r="D41" s="11">
        <f>SUMIF(Funções!$R$4:$R$455,B41,Funções!$P$4:$P$455)</f>
        <v>0</v>
      </c>
      <c r="E41" s="11">
        <f>SUMIF(Funções!$R$4:$R$455,B41,Funções!$Q$4:$Q$455)</f>
        <v>0</v>
      </c>
    </row>
    <row r="42" spans="2:5" ht="13.8">
      <c r="B42" s="9">
        <v>39</v>
      </c>
      <c r="C42" s="10" t="str">
        <f>IF(ISERROR(VLOOKUP(B42,Funções!$R$4:$S$455,2,0)),
        "",
         VLOOKUP(B42,Funções!$R$4:$S$455,2,0)
)</f>
        <v/>
      </c>
      <c r="D42" s="11">
        <f>SUMIF(Funções!$R$4:$R$455,B42,Funções!$P$4:$P$455)</f>
        <v>0</v>
      </c>
      <c r="E42" s="11">
        <f>SUMIF(Funções!$R$4:$R$455,B42,Funções!$Q$4:$Q$455)</f>
        <v>0</v>
      </c>
    </row>
    <row r="43" spans="2:5" ht="13.8">
      <c r="B43" s="9">
        <v>40</v>
      </c>
      <c r="C43" s="10" t="str">
        <f>IF(ISERROR(VLOOKUP(B43,Funções!$R$4:$S$455,2,0)),
        "",
         VLOOKUP(B43,Funções!$R$4:$S$455,2,0)
)</f>
        <v/>
      </c>
      <c r="D43" s="11">
        <f>SUMIF(Funções!$R$4:$R$455,B43,Funções!$P$4:$P$455)</f>
        <v>0</v>
      </c>
      <c r="E43" s="11">
        <f>SUMIF(Funções!$R$4:$R$455,B43,Funções!$Q$4:$Q$455)</f>
        <v>0</v>
      </c>
    </row>
    <row r="44" spans="2:5" ht="13.8">
      <c r="B44" s="9">
        <v>41</v>
      </c>
      <c r="C44" s="10" t="str">
        <f>IF(ISERROR(VLOOKUP(B44,Funções!$R$4:$S$455,2,0)),
        "",
         VLOOKUP(B44,Funções!$R$4:$S$455,2,0)
)</f>
        <v/>
      </c>
      <c r="D44" s="11">
        <f>SUMIF(Funções!$R$4:$R$455,B44,Funções!$P$4:$P$455)</f>
        <v>0</v>
      </c>
      <c r="E44" s="11">
        <f>SUMIF(Funções!$R$4:$R$455,B44,Funções!$Q$4:$Q$455)</f>
        <v>0</v>
      </c>
    </row>
    <row r="45" spans="2:5" ht="13.8">
      <c r="B45" s="9">
        <v>42</v>
      </c>
      <c r="C45" s="10" t="str">
        <f>IF(ISERROR(VLOOKUP(B45,Funções!$R$4:$S$455,2,0)),
        "",
         VLOOKUP(B45,Funções!$R$4:$S$455,2,0)
)</f>
        <v/>
      </c>
      <c r="D45" s="11">
        <f>SUMIF(Funções!$R$4:$R$455,B45,Funções!$P$4:$P$455)</f>
        <v>0</v>
      </c>
      <c r="E45" s="11">
        <f>SUMIF(Funções!$R$4:$R$455,B45,Funções!$Q$4:$Q$455)</f>
        <v>0</v>
      </c>
    </row>
    <row r="46" spans="2:5" ht="13.8">
      <c r="B46" s="9">
        <v>43</v>
      </c>
      <c r="C46" s="10" t="str">
        <f>IF(ISERROR(VLOOKUP(B46,Funções!$R$4:$S$455,2,0)),
        "",
         VLOOKUP(B46,Funções!$R$4:$S$455,2,0)
)</f>
        <v/>
      </c>
      <c r="D46" s="11">
        <f>SUMIF(Funções!$R$4:$R$455,B46,Funções!$P$4:$P$455)</f>
        <v>0</v>
      </c>
      <c r="E46" s="11">
        <f>SUMIF(Funções!$R$4:$R$455,B46,Funções!$Q$4:$Q$455)</f>
        <v>0</v>
      </c>
    </row>
    <row r="47" spans="2:5" ht="13.8">
      <c r="B47" s="9">
        <v>44</v>
      </c>
      <c r="C47" s="10" t="str">
        <f>IF(ISERROR(VLOOKUP(B47,Funções!$R$4:$S$455,2,0)),
        "",
         VLOOKUP(B47,Funções!$R$4:$S$455,2,0)
)</f>
        <v/>
      </c>
      <c r="D47" s="11">
        <f>SUMIF(Funções!$R$4:$R$455,B47,Funções!$P$4:$P$455)</f>
        <v>0</v>
      </c>
      <c r="E47" s="11">
        <f>SUMIF(Funções!$R$4:$R$455,B47,Funções!$Q$4:$Q$455)</f>
        <v>0</v>
      </c>
    </row>
    <row r="48" spans="2:5" ht="13.8">
      <c r="B48" s="9">
        <v>45</v>
      </c>
      <c r="C48" s="10" t="str">
        <f>IF(ISERROR(VLOOKUP(B48,Funções!$R$4:$S$455,2,0)),
        "",
         VLOOKUP(B48,Funções!$R$4:$S$455,2,0)
)</f>
        <v/>
      </c>
      <c r="D48" s="11">
        <f>SUMIF(Funções!$R$4:$R$455,B48,Funções!$P$4:$P$455)</f>
        <v>0</v>
      </c>
      <c r="E48" s="11">
        <f>SUMIF(Funções!$R$4:$R$455,B48,Funções!$Q$4:$Q$455)</f>
        <v>0</v>
      </c>
    </row>
    <row r="49" spans="2:5" ht="13.8">
      <c r="B49" s="9">
        <v>46</v>
      </c>
      <c r="C49" s="10" t="str">
        <f>IF(ISERROR(VLOOKUP(B49,Funções!$R$4:$S$455,2,0)),
        "",
         VLOOKUP(B49,Funções!$R$4:$S$455,2,0)
)</f>
        <v/>
      </c>
      <c r="D49" s="11">
        <f>SUMIF(Funções!$R$4:$R$455,B49,Funções!$P$4:$P$455)</f>
        <v>0</v>
      </c>
      <c r="E49" s="11">
        <f>SUMIF(Funções!$R$4:$R$455,B49,Funções!$Q$4:$Q$455)</f>
        <v>0</v>
      </c>
    </row>
    <row r="50" spans="2:5" ht="13.8">
      <c r="B50" s="9">
        <v>47</v>
      </c>
      <c r="C50" s="10" t="str">
        <f>IF(ISERROR(VLOOKUP(B50,Funções!$R$4:$S$455,2,0)),
        "",
         VLOOKUP(B50,Funções!$R$4:$S$455,2,0)
)</f>
        <v/>
      </c>
      <c r="D50" s="11">
        <f>SUMIF(Funções!$R$4:$R$455,B50,Funções!$P$4:$P$455)</f>
        <v>0</v>
      </c>
      <c r="E50" s="11">
        <f>SUMIF(Funções!$R$4:$R$455,B50,Funções!$Q$4:$Q$455)</f>
        <v>0</v>
      </c>
    </row>
    <row r="51" spans="2:5" ht="13.8">
      <c r="B51" s="9">
        <v>48</v>
      </c>
      <c r="C51" s="10" t="str">
        <f>IF(ISERROR(VLOOKUP(B51,Funções!$R$4:$S$455,2,0)),
        "",
         VLOOKUP(B51,Funções!$R$4:$S$455,2,0)
)</f>
        <v/>
      </c>
      <c r="D51" s="11">
        <f>SUMIF(Funções!$R$4:$R$455,B51,Funções!$P$4:$P$455)</f>
        <v>0</v>
      </c>
      <c r="E51" s="11">
        <f>SUMIF(Funções!$R$4:$R$455,B51,Funções!$Q$4:$Q$455)</f>
        <v>0</v>
      </c>
    </row>
    <row r="52" spans="2:5" ht="13.8">
      <c r="B52" s="9">
        <v>49</v>
      </c>
      <c r="C52" s="10" t="str">
        <f>IF(ISERROR(VLOOKUP(B52,Funções!$R$4:$S$455,2,0)),
        "",
         VLOOKUP(B52,Funções!$R$4:$S$455,2,0)
)</f>
        <v/>
      </c>
      <c r="D52" s="11">
        <f>SUMIF(Funções!$R$4:$R$455,B52,Funções!$P$4:$P$455)</f>
        <v>0</v>
      </c>
      <c r="E52" s="11">
        <f>SUMIF(Funções!$R$4:$R$455,B52,Funções!$Q$4:$Q$455)</f>
        <v>0</v>
      </c>
    </row>
    <row r="53" spans="2:5" ht="13.8">
      <c r="B53" s="9">
        <v>50</v>
      </c>
      <c r="C53" s="10" t="str">
        <f>IF(ISERROR(VLOOKUP(B53,Funções!$R$4:$S$455,2,0)),
        "",
         VLOOKUP(B53,Funções!$R$4:$S$455,2,0)
)</f>
        <v/>
      </c>
      <c r="D53" s="11">
        <f>SUMIF(Funções!$R$4:$R$455,B53,Funções!$P$4:$P$455)</f>
        <v>0</v>
      </c>
      <c r="E53" s="11">
        <f>SUMIF(Funções!$R$4:$R$455,B53,Funções!$Q$4:$Q$455)</f>
        <v>0</v>
      </c>
    </row>
    <row r="54" spans="2:5" ht="13.8">
      <c r="B54" s="9">
        <v>51</v>
      </c>
      <c r="C54" s="10" t="str">
        <f>IF(ISERROR(VLOOKUP(B54,Funções!$R$4:$S$455,2,0)),
        "",
         VLOOKUP(B54,Funções!$R$4:$S$455,2,0)
)</f>
        <v/>
      </c>
      <c r="D54" s="11">
        <f>SUMIF(Funções!$R$4:$R$455,B54,Funções!$P$4:$P$455)</f>
        <v>0</v>
      </c>
      <c r="E54" s="11">
        <f>SUMIF(Funções!$R$4:$R$455,B54,Funções!$Q$4:$Q$455)</f>
        <v>0</v>
      </c>
    </row>
    <row r="55" spans="2:5" ht="13.8">
      <c r="B55" s="9">
        <v>52</v>
      </c>
      <c r="C55" s="10" t="str">
        <f>IF(ISERROR(VLOOKUP(B55,Funções!$R$4:$S$455,2,0)),
        "",
         VLOOKUP(B55,Funções!$R$4:$S$455,2,0)
)</f>
        <v/>
      </c>
      <c r="D55" s="11">
        <f>SUMIF(Funções!$R$4:$R$455,B55,Funções!$P$4:$P$455)</f>
        <v>0</v>
      </c>
      <c r="E55" s="11">
        <f>SUMIF(Funções!$R$4:$R$455,B55,Funções!$Q$4:$Q$455)</f>
        <v>0</v>
      </c>
    </row>
    <row r="56" spans="2:5" ht="13.8">
      <c r="B56" s="9">
        <v>53</v>
      </c>
      <c r="C56" s="10" t="str">
        <f>IF(ISERROR(VLOOKUP(B56,Funções!$R$4:$S$455,2,0)),
        "",
         VLOOKUP(B56,Funções!$R$4:$S$455,2,0)
)</f>
        <v/>
      </c>
      <c r="D56" s="11">
        <f>SUMIF(Funções!$R$4:$R$455,B56,Funções!$P$4:$P$455)</f>
        <v>0</v>
      </c>
      <c r="E56" s="11">
        <f>SUMIF(Funções!$R$4:$R$455,B56,Funções!$Q$4:$Q$455)</f>
        <v>0</v>
      </c>
    </row>
    <row r="57" spans="2:5" ht="13.8">
      <c r="B57" s="9">
        <v>54</v>
      </c>
      <c r="C57" s="10" t="str">
        <f>IF(ISERROR(VLOOKUP(B57,Funções!$R$4:$S$455,2,0)),
        "",
         VLOOKUP(B57,Funções!$R$4:$S$455,2,0)
)</f>
        <v/>
      </c>
      <c r="D57" s="11">
        <f>SUMIF(Funções!$R$4:$R$455,B57,Funções!$P$4:$P$455)</f>
        <v>0</v>
      </c>
      <c r="E57" s="11">
        <f>SUMIF(Funções!$R$4:$R$455,B57,Funções!$Q$4:$Q$455)</f>
        <v>0</v>
      </c>
    </row>
    <row r="58" spans="2:5" ht="13.8">
      <c r="B58" s="9">
        <v>55</v>
      </c>
      <c r="C58" s="10" t="str">
        <f>IF(ISERROR(VLOOKUP(B58,Funções!$R$4:$S$455,2,0)),
        "",
         VLOOKUP(B58,Funções!$R$4:$S$455,2,0)
)</f>
        <v/>
      </c>
      <c r="D58" s="11">
        <f>SUMIF(Funções!$R$4:$R$455,B58,Funções!$P$4:$P$455)</f>
        <v>0</v>
      </c>
      <c r="E58" s="11">
        <f>SUMIF(Funções!$R$4:$R$455,B58,Funções!$Q$4:$Q$455)</f>
        <v>0</v>
      </c>
    </row>
    <row r="59" spans="2:5" ht="13.8">
      <c r="B59" s="9">
        <v>56</v>
      </c>
      <c r="C59" s="10" t="str">
        <f>IF(ISERROR(VLOOKUP(B59,Funções!$R$4:$S$455,2,0)),
        "",
         VLOOKUP(B59,Funções!$R$4:$S$455,2,0)
)</f>
        <v/>
      </c>
      <c r="D59" s="11">
        <f>SUMIF(Funções!$R$4:$R$455,B59,Funções!$P$4:$P$455)</f>
        <v>0</v>
      </c>
      <c r="E59" s="11">
        <f>SUMIF(Funções!$R$4:$R$455,B59,Funções!$Q$4:$Q$455)</f>
        <v>0</v>
      </c>
    </row>
    <row r="60" spans="2:5" ht="13.8">
      <c r="B60" s="9">
        <v>57</v>
      </c>
      <c r="C60" s="10" t="str">
        <f>IF(ISERROR(VLOOKUP(B60,Funções!$R$4:$S$455,2,0)),
        "",
         VLOOKUP(B60,Funções!$R$4:$S$455,2,0)
)</f>
        <v/>
      </c>
      <c r="D60" s="11">
        <f>SUMIF(Funções!$R$4:$R$455,B60,Funções!$P$4:$P$455)</f>
        <v>0</v>
      </c>
      <c r="E60" s="11">
        <f>SUMIF(Funções!$R$4:$R$455,B60,Funções!$Q$4:$Q$455)</f>
        <v>0</v>
      </c>
    </row>
    <row r="61" spans="2:5" ht="13.8">
      <c r="B61" s="9">
        <v>58</v>
      </c>
      <c r="C61" s="10" t="str">
        <f>IF(ISERROR(VLOOKUP(B61,Funções!$R$4:$S$455,2,0)),
        "",
         VLOOKUP(B61,Funções!$R$4:$S$455,2,0)
)</f>
        <v/>
      </c>
      <c r="D61" s="11">
        <f>SUMIF(Funções!$R$4:$R$455,B61,Funções!$P$4:$P$455)</f>
        <v>0</v>
      </c>
      <c r="E61" s="11">
        <f>SUMIF(Funções!$R$4:$R$455,B61,Funções!$Q$4:$Q$455)</f>
        <v>0</v>
      </c>
    </row>
    <row r="62" spans="2:5" ht="13.8">
      <c r="B62" s="9">
        <v>59</v>
      </c>
      <c r="C62" s="10" t="str">
        <f>IF(ISERROR(VLOOKUP(B62,Funções!$R$4:$S$455,2,0)),
        "",
         VLOOKUP(B62,Funções!$R$4:$S$455,2,0)
)</f>
        <v/>
      </c>
      <c r="D62" s="11">
        <f>SUMIF(Funções!$R$4:$R$455,B62,Funções!$P$4:$P$455)</f>
        <v>0</v>
      </c>
      <c r="E62" s="11">
        <f>SUMIF(Funções!$R$4:$R$455,B62,Funções!$Q$4:$Q$455)</f>
        <v>0</v>
      </c>
    </row>
    <row r="63" spans="2:5" ht="13.8">
      <c r="B63" s="9">
        <v>60</v>
      </c>
      <c r="C63" s="10" t="str">
        <f>IF(ISERROR(VLOOKUP(B63,Funções!$R$4:$S$455,2,0)),
        "",
         VLOOKUP(B63,Funções!$R$4:$S$455,2,0)
)</f>
        <v/>
      </c>
      <c r="D63" s="11">
        <f>SUMIF(Funções!$R$4:$R$455,B63,Funções!$P$4:$P$455)</f>
        <v>0</v>
      </c>
      <c r="E63" s="11">
        <f>SUMIF(Funções!$R$4:$R$455,B63,Funções!$Q$4:$Q$455)</f>
        <v>0</v>
      </c>
    </row>
    <row r="64" spans="2:5" ht="13.8">
      <c r="B64" s="9">
        <v>61</v>
      </c>
      <c r="C64" s="10" t="str">
        <f>IF(ISERROR(VLOOKUP(B64,Funções!$R$4:$S$455,2,0)),
        "",
         VLOOKUP(B64,Funções!$R$4:$S$455,2,0)
)</f>
        <v/>
      </c>
      <c r="D64" s="11">
        <f>SUMIF(Funções!$R$4:$R$455,B64,Funções!$P$4:$P$455)</f>
        <v>0</v>
      </c>
      <c r="E64" s="11">
        <f>SUMIF(Funções!$R$4:$R$455,B64,Funções!$Q$4:$Q$455)</f>
        <v>0</v>
      </c>
    </row>
    <row r="65" spans="2:5" ht="13.8">
      <c r="B65" s="9">
        <v>62</v>
      </c>
      <c r="C65" s="10" t="str">
        <f>IF(ISERROR(VLOOKUP(B65,Funções!$R$4:$S$455,2,0)),
        "",
         VLOOKUP(B65,Funções!$R$4:$S$455,2,0)
)</f>
        <v/>
      </c>
      <c r="D65" s="11">
        <f>SUMIF(Funções!$R$4:$R$455,B65,Funções!$P$4:$P$455)</f>
        <v>0</v>
      </c>
      <c r="E65" s="11">
        <f>SUMIF(Funções!$R$4:$R$455,B65,Funções!$Q$4:$Q$455)</f>
        <v>0</v>
      </c>
    </row>
    <row r="66" spans="2:5" ht="13.8">
      <c r="B66" s="9">
        <v>63</v>
      </c>
      <c r="C66" s="10" t="str">
        <f>IF(ISERROR(VLOOKUP(B66,Funções!$R$4:$S$455,2,0)),
        "",
         VLOOKUP(B66,Funções!$R$4:$S$455,2,0)
)</f>
        <v/>
      </c>
      <c r="D66" s="11">
        <f>SUMIF(Funções!$R$4:$R$455,B66,Funções!$P$4:$P$455)</f>
        <v>0</v>
      </c>
      <c r="E66" s="11">
        <f>SUMIF(Funções!$R$4:$R$455,B66,Funções!$Q$4:$Q$455)</f>
        <v>0</v>
      </c>
    </row>
    <row r="67" spans="2:5" ht="13.8">
      <c r="B67" s="9">
        <v>64</v>
      </c>
      <c r="C67" s="10" t="str">
        <f>IF(ISERROR(VLOOKUP(B67,Funções!$R$4:$S$455,2,0)),
        "",
         VLOOKUP(B67,Funções!$R$4:$S$455,2,0)
)</f>
        <v/>
      </c>
      <c r="D67" s="11">
        <f>SUMIF(Funções!$R$4:$R$455,B67,Funções!$P$4:$P$455)</f>
        <v>0</v>
      </c>
      <c r="E67" s="11">
        <f>SUMIF(Funções!$R$4:$R$455,B67,Funções!$Q$4:$Q$455)</f>
        <v>0</v>
      </c>
    </row>
    <row r="68" spans="2:5" ht="13.8">
      <c r="B68" s="9">
        <v>65</v>
      </c>
      <c r="C68" s="10" t="str">
        <f>IF(ISERROR(VLOOKUP(B68,Funções!$R$4:$S$455,2,0)),
        "",
         VLOOKUP(B68,Funções!$R$4:$S$455,2,0)
)</f>
        <v/>
      </c>
      <c r="D68" s="11">
        <f>SUMIF(Funções!$R$4:$R$455,B68,Funções!$P$4:$P$455)</f>
        <v>0</v>
      </c>
      <c r="E68" s="11">
        <f>SUMIF(Funções!$R$4:$R$455,B68,Funções!$Q$4:$Q$455)</f>
        <v>0</v>
      </c>
    </row>
    <row r="69" spans="2:5" ht="13.8">
      <c r="B69" s="9">
        <v>66</v>
      </c>
      <c r="C69" s="10" t="str">
        <f>IF(ISERROR(VLOOKUP(B69,Funções!$R$4:$S$455,2,0)),
        "",
         VLOOKUP(B69,Funções!$R$4:$S$455,2,0)
)</f>
        <v/>
      </c>
      <c r="D69" s="11">
        <f>SUMIF(Funções!$R$4:$R$455,B69,Funções!$P$4:$P$455)</f>
        <v>0</v>
      </c>
      <c r="E69" s="11">
        <f>SUMIF(Funções!$R$4:$R$455,B69,Funções!$Q$4:$Q$455)</f>
        <v>0</v>
      </c>
    </row>
    <row r="70" spans="2:5" ht="13.8">
      <c r="B70" s="9">
        <v>67</v>
      </c>
      <c r="C70" s="10" t="str">
        <f>IF(ISERROR(VLOOKUP(B70,Funções!$R$4:$S$455,2,0)),
        "",
         VLOOKUP(B70,Funções!$R$4:$S$455,2,0)
)</f>
        <v/>
      </c>
      <c r="D70" s="11">
        <f>SUMIF(Funções!$R$4:$R$455,B70,Funções!$P$4:$P$455)</f>
        <v>0</v>
      </c>
      <c r="E70" s="11">
        <f>SUMIF(Funções!$R$4:$R$455,B70,Funções!$Q$4:$Q$455)</f>
        <v>0</v>
      </c>
    </row>
    <row r="71" spans="2:5" ht="13.8">
      <c r="B71" s="9">
        <v>68</v>
      </c>
      <c r="C71" s="10" t="str">
        <f>IF(ISERROR(VLOOKUP(B71,Funções!$R$4:$S$455,2,0)),
        "",
         VLOOKUP(B71,Funções!$R$4:$S$455,2,0)
)</f>
        <v/>
      </c>
      <c r="D71" s="11">
        <f>SUMIF(Funções!$R$4:$R$455,B71,Funções!$P$4:$P$455)</f>
        <v>0</v>
      </c>
      <c r="E71" s="11">
        <f>SUMIF(Funções!$R$4:$R$455,B71,Funções!$Q$4:$Q$455)</f>
        <v>0</v>
      </c>
    </row>
    <row r="72" spans="2:5" ht="13.8">
      <c r="B72" s="9">
        <v>69</v>
      </c>
      <c r="C72" s="10" t="str">
        <f>IF(ISERROR(VLOOKUP(B72,Funções!$R$4:$S$455,2,0)),
        "",
         VLOOKUP(B72,Funções!$R$4:$S$455,2,0)
)</f>
        <v/>
      </c>
      <c r="D72" s="11">
        <f>SUMIF(Funções!$R$4:$R$455,B72,Funções!$P$4:$P$455)</f>
        <v>0</v>
      </c>
      <c r="E72" s="11">
        <f>SUMIF(Funções!$R$4:$R$455,B72,Funções!$Q$4:$Q$455)</f>
        <v>0</v>
      </c>
    </row>
    <row r="73" spans="2:5" ht="13.8">
      <c r="B73" s="9">
        <v>70</v>
      </c>
      <c r="C73" s="10" t="str">
        <f>IF(ISERROR(VLOOKUP(B73,Funções!$R$4:$S$455,2,0)),
        "",
         VLOOKUP(B73,Funções!$R$4:$S$455,2,0)
)</f>
        <v/>
      </c>
      <c r="D73" s="11">
        <f>SUMIF(Funções!$R$4:$R$455,B73,Funções!$P$4:$P$455)</f>
        <v>0</v>
      </c>
      <c r="E73" s="11">
        <f>SUMIF(Funções!$R$4:$R$455,B73,Funções!$Q$4:$Q$455)</f>
        <v>0</v>
      </c>
    </row>
    <row r="74" spans="2:5" ht="13.8">
      <c r="B74" s="9">
        <v>71</v>
      </c>
      <c r="C74" s="10" t="str">
        <f>IF(ISERROR(VLOOKUP(B74,Funções!$R$4:$S$455,2,0)),
        "",
         VLOOKUP(B74,Funções!$R$4:$S$455,2,0)
)</f>
        <v/>
      </c>
      <c r="D74" s="11">
        <f>SUMIF(Funções!$R$4:$R$455,B74,Funções!$P$4:$P$455)</f>
        <v>0</v>
      </c>
      <c r="E74" s="11">
        <f>SUMIF(Funções!$R$4:$R$455,B74,Funções!$Q$4:$Q$455)</f>
        <v>0</v>
      </c>
    </row>
    <row r="75" spans="2:5" ht="13.8">
      <c r="B75" s="9">
        <v>72</v>
      </c>
      <c r="C75" s="10" t="str">
        <f>IF(ISERROR(VLOOKUP(B75,Funções!$R$4:$S$455,2,0)),
        "",
         VLOOKUP(B75,Funções!$R$4:$S$455,2,0)
)</f>
        <v/>
      </c>
      <c r="D75" s="11">
        <f>SUMIF(Funções!$R$4:$R$455,B75,Funções!$P$4:$P$455)</f>
        <v>0</v>
      </c>
      <c r="E75" s="11">
        <f>SUMIF(Funções!$R$4:$R$455,B75,Funções!$Q$4:$Q$455)</f>
        <v>0</v>
      </c>
    </row>
    <row r="76" spans="2:5" ht="13.8">
      <c r="B76" s="9">
        <v>73</v>
      </c>
      <c r="C76" s="10" t="str">
        <f>IF(ISERROR(VLOOKUP(B76,Funções!$R$4:$S$455,2,0)),
        "",
         VLOOKUP(B76,Funções!$R$4:$S$455,2,0)
)</f>
        <v/>
      </c>
      <c r="D76" s="11">
        <f>SUMIF(Funções!$R$4:$R$455,B76,Funções!$P$4:$P$455)</f>
        <v>0</v>
      </c>
      <c r="E76" s="11">
        <f>SUMIF(Funções!$R$4:$R$455,B76,Funções!$Q$4:$Q$455)</f>
        <v>0</v>
      </c>
    </row>
    <row r="77" spans="2:5" ht="13.8">
      <c r="B77" s="9">
        <v>74</v>
      </c>
      <c r="C77" s="10" t="str">
        <f>IF(ISERROR(VLOOKUP(B77,Funções!$R$4:$S$455,2,0)),
        "",
         VLOOKUP(B77,Funções!$R$4:$S$455,2,0)
)</f>
        <v/>
      </c>
      <c r="D77" s="11">
        <f>SUMIF(Funções!$R$4:$R$455,B77,Funções!$P$4:$P$455)</f>
        <v>0</v>
      </c>
      <c r="E77" s="11">
        <f>SUMIF(Funções!$R$4:$R$455,B77,Funções!$Q$4:$Q$455)</f>
        <v>0</v>
      </c>
    </row>
    <row r="78" spans="2:5" ht="13.8">
      <c r="B78" s="9">
        <v>75</v>
      </c>
      <c r="C78" s="10" t="str">
        <f>IF(ISERROR(VLOOKUP(B78,Funções!$R$4:$S$455,2,0)),
        "",
         VLOOKUP(B78,Funções!$R$4:$S$455,2,0)
)</f>
        <v/>
      </c>
      <c r="D78" s="11">
        <f>SUMIF(Funções!$R$4:$R$455,B78,Funções!$P$4:$P$455)</f>
        <v>0</v>
      </c>
      <c r="E78" s="11">
        <f>SUMIF(Funções!$R$4:$R$455,B78,Funções!$Q$4:$Q$455)</f>
        <v>0</v>
      </c>
    </row>
    <row r="79" spans="2:5" ht="13.8">
      <c r="B79" s="9">
        <v>76</v>
      </c>
      <c r="C79" s="10" t="str">
        <f>IF(ISERROR(VLOOKUP(B79,Funções!$R$4:$S$455,2,0)),
        "",
         VLOOKUP(B79,Funções!$R$4:$S$455,2,0)
)</f>
        <v/>
      </c>
      <c r="D79" s="11">
        <f>SUMIF(Funções!$R$4:$R$455,B79,Funções!$P$4:$P$455)</f>
        <v>0</v>
      </c>
      <c r="E79" s="11">
        <f>SUMIF(Funções!$R$4:$R$455,B79,Funções!$Q$4:$Q$455)</f>
        <v>0</v>
      </c>
    </row>
    <row r="80" spans="2:5" ht="13.8">
      <c r="B80" s="9">
        <v>77</v>
      </c>
      <c r="C80" s="10" t="str">
        <f>IF(ISERROR(VLOOKUP(B80,Funções!$R$4:$S$455,2,0)),
        "",
         VLOOKUP(B80,Funções!$R$4:$S$455,2,0)
)</f>
        <v/>
      </c>
      <c r="D80" s="11">
        <f>SUMIF(Funções!$R$4:$R$455,B80,Funções!$P$4:$P$455)</f>
        <v>0</v>
      </c>
      <c r="E80" s="11">
        <f>SUMIF(Funções!$R$4:$R$455,B80,Funções!$Q$4:$Q$455)</f>
        <v>0</v>
      </c>
    </row>
    <row r="81" spans="2:5" ht="13.8">
      <c r="B81" s="9">
        <v>78</v>
      </c>
      <c r="C81" s="10" t="str">
        <f>IF(ISERROR(VLOOKUP(B81,Funções!$R$4:$S$455,2,0)),
        "",
         VLOOKUP(B81,Funções!$R$4:$S$455,2,0)
)</f>
        <v/>
      </c>
      <c r="D81" s="11">
        <f>SUMIF(Funções!$R$4:$R$455,B81,Funções!$P$4:$P$455)</f>
        <v>0</v>
      </c>
      <c r="E81" s="11">
        <f>SUMIF(Funções!$R$4:$R$455,B81,Funções!$Q$4:$Q$455)</f>
        <v>0</v>
      </c>
    </row>
    <row r="82" spans="2:5" ht="13.8">
      <c r="B82" s="9">
        <v>79</v>
      </c>
      <c r="C82" s="10" t="str">
        <f>IF(ISERROR(VLOOKUP(B82,Funções!$R$4:$S$455,2,0)),
        "",
         VLOOKUP(B82,Funções!$R$4:$S$455,2,0)
)</f>
        <v/>
      </c>
      <c r="D82" s="11">
        <f>SUMIF(Funções!$R$4:$R$455,B82,Funções!$P$4:$P$455)</f>
        <v>0</v>
      </c>
      <c r="E82" s="11">
        <f>SUMIF(Funções!$R$4:$R$455,B82,Funções!$Q$4:$Q$455)</f>
        <v>0</v>
      </c>
    </row>
    <row r="83" spans="2:5" ht="13.8">
      <c r="B83" s="9">
        <v>80</v>
      </c>
      <c r="C83" s="10" t="str">
        <f>IF(ISERROR(VLOOKUP(B83,Funções!$R$4:$S$455,2,0)),
        "",
         VLOOKUP(B83,Funções!$R$4:$S$455,2,0)
)</f>
        <v/>
      </c>
      <c r="D83" s="11">
        <f>SUMIF(Funções!$R$4:$R$455,B83,Funções!$P$4:$P$455)</f>
        <v>0</v>
      </c>
      <c r="E83" s="11">
        <f>SUMIF(Funções!$R$4:$R$455,B83,Funções!$Q$4:$Q$455)</f>
        <v>0</v>
      </c>
    </row>
    <row r="84" spans="2:5" ht="13.8">
      <c r="B84" s="9">
        <v>81</v>
      </c>
      <c r="C84" s="10" t="str">
        <f>IF(ISERROR(VLOOKUP(B84,Funções!$R$4:$S$455,2,0)),
        "",
         VLOOKUP(B84,Funções!$R$4:$S$455,2,0)
)</f>
        <v/>
      </c>
      <c r="D84" s="11">
        <f>SUMIF(Funções!$R$4:$R$455,B84,Funções!$P$4:$P$455)</f>
        <v>0</v>
      </c>
      <c r="E84" s="11">
        <f>SUMIF(Funções!$R$4:$R$455,B84,Funções!$Q$4:$Q$455)</f>
        <v>0</v>
      </c>
    </row>
    <row r="85" spans="2:5" ht="13.8">
      <c r="B85" s="9">
        <v>82</v>
      </c>
      <c r="C85" s="10" t="str">
        <f>IF(ISERROR(VLOOKUP(B85,Funções!$R$4:$S$455,2,0)),
        "",
         VLOOKUP(B85,Funções!$R$4:$S$455,2,0)
)</f>
        <v/>
      </c>
      <c r="D85" s="11">
        <f>SUMIF(Funções!$R$4:$R$455,B85,Funções!$P$4:$P$455)</f>
        <v>0</v>
      </c>
      <c r="E85" s="11">
        <f>SUMIF(Funções!$R$4:$R$455,B85,Funções!$Q$4:$Q$455)</f>
        <v>0</v>
      </c>
    </row>
    <row r="86" spans="2:5" ht="13.8">
      <c r="B86" s="9">
        <v>83</v>
      </c>
      <c r="C86" s="10" t="str">
        <f>IF(ISERROR(VLOOKUP(B86,Funções!$R$4:$S$455,2,0)),
        "",
         VLOOKUP(B86,Funções!$R$4:$S$455,2,0)
)</f>
        <v/>
      </c>
      <c r="D86" s="11">
        <f>SUMIF(Funções!$R$4:$R$455,B86,Funções!$P$4:$P$455)</f>
        <v>0</v>
      </c>
      <c r="E86" s="11">
        <f>SUMIF(Funções!$R$4:$R$455,B86,Funções!$Q$4:$Q$455)</f>
        <v>0</v>
      </c>
    </row>
    <row r="87" spans="2:5" ht="13.8">
      <c r="B87" s="9">
        <v>84</v>
      </c>
      <c r="C87" s="10" t="str">
        <f>IF(ISERROR(VLOOKUP(B87,Funções!$R$4:$S$455,2,0)),
        "",
         VLOOKUP(B87,Funções!$R$4:$S$455,2,0)
)</f>
        <v/>
      </c>
      <c r="D87" s="11">
        <f>SUMIF(Funções!$R$4:$R$455,B87,Funções!$P$4:$P$455)</f>
        <v>0</v>
      </c>
      <c r="E87" s="11">
        <f>SUMIF(Funções!$R$4:$R$455,B87,Funções!$Q$4:$Q$455)</f>
        <v>0</v>
      </c>
    </row>
    <row r="88" spans="2:5" ht="13.8">
      <c r="B88" s="9">
        <v>85</v>
      </c>
      <c r="C88" s="10" t="str">
        <f>IF(ISERROR(VLOOKUP(B88,Funções!$R$4:$S$455,2,0)),
        "",
         VLOOKUP(B88,Funções!$R$4:$S$455,2,0)
)</f>
        <v/>
      </c>
      <c r="D88" s="11">
        <f>SUMIF(Funções!$R$4:$R$455,B88,Funções!$P$4:$P$455)</f>
        <v>0</v>
      </c>
      <c r="E88" s="11">
        <f>SUMIF(Funções!$R$4:$R$455,B88,Funções!$Q$4:$Q$455)</f>
        <v>0</v>
      </c>
    </row>
    <row r="89" spans="2:5" ht="13.8">
      <c r="B89" s="9">
        <v>86</v>
      </c>
      <c r="C89" s="10" t="str">
        <f>IF(ISERROR(VLOOKUP(B89,Funções!$R$4:$S$455,2,0)),
        "",
         VLOOKUP(B89,Funções!$R$4:$S$455,2,0)
)</f>
        <v/>
      </c>
      <c r="D89" s="11">
        <f>SUMIF(Funções!$R$4:$R$455,B89,Funções!$P$4:$P$455)</f>
        <v>0</v>
      </c>
      <c r="E89" s="11">
        <f>SUMIF(Funções!$R$4:$R$455,B89,Funções!$Q$4:$Q$455)</f>
        <v>0</v>
      </c>
    </row>
    <row r="90" spans="2:5" ht="13.8">
      <c r="B90" s="9">
        <v>87</v>
      </c>
      <c r="C90" s="10" t="str">
        <f>IF(ISERROR(VLOOKUP(B90,Funções!$R$4:$S$455,2,0)),
        "",
         VLOOKUP(B90,Funções!$R$4:$S$455,2,0)
)</f>
        <v/>
      </c>
      <c r="D90" s="11">
        <f>SUMIF(Funções!$R$4:$R$455,B90,Funções!$P$4:$P$455)</f>
        <v>0</v>
      </c>
      <c r="E90" s="11">
        <f>SUMIF(Funções!$R$4:$R$455,B90,Funções!$Q$4:$Q$455)</f>
        <v>0</v>
      </c>
    </row>
    <row r="91" spans="2:5" ht="13.8">
      <c r="B91" s="9">
        <v>88</v>
      </c>
      <c r="C91" s="10" t="str">
        <f>IF(ISERROR(VLOOKUP(B91,Funções!$R$4:$S$455,2,0)),
        "",
         VLOOKUP(B91,Funções!$R$4:$S$455,2,0)
)</f>
        <v/>
      </c>
      <c r="D91" s="11">
        <f>SUMIF(Funções!$R$4:$R$455,B91,Funções!$P$4:$P$455)</f>
        <v>0</v>
      </c>
      <c r="E91" s="11">
        <f>SUMIF(Funções!$R$4:$R$455,B91,Funções!$Q$4:$Q$455)</f>
        <v>0</v>
      </c>
    </row>
    <row r="92" spans="2:5" ht="13.8">
      <c r="B92" s="9">
        <v>89</v>
      </c>
      <c r="C92" s="10" t="str">
        <f>IF(ISERROR(VLOOKUP(B92,Funções!$R$4:$S$455,2,0)),
        "",
         VLOOKUP(B92,Funções!$R$4:$S$455,2,0)
)</f>
        <v/>
      </c>
      <c r="D92" s="11">
        <f>SUMIF(Funções!$R$4:$R$455,B92,Funções!$P$4:$P$455)</f>
        <v>0</v>
      </c>
      <c r="E92" s="11">
        <f>SUMIF(Funções!$R$4:$R$455,B92,Funções!$Q$4:$Q$455)</f>
        <v>0</v>
      </c>
    </row>
    <row r="93" spans="2:5" ht="13.8">
      <c r="B93" s="9">
        <v>90</v>
      </c>
      <c r="C93" s="10" t="str">
        <f>IF(ISERROR(VLOOKUP(B93,Funções!$R$4:$S$455,2,0)),
        "",
         VLOOKUP(B93,Funções!$R$4:$S$455,2,0)
)</f>
        <v/>
      </c>
      <c r="D93" s="11">
        <f>SUMIF(Funções!$R$4:$R$455,B93,Funções!$P$4:$P$455)</f>
        <v>0</v>
      </c>
      <c r="E93" s="11">
        <f>SUMIF(Funções!$R$4:$R$455,B93,Funções!$Q$4:$Q$455)</f>
        <v>0</v>
      </c>
    </row>
    <row r="94" spans="2:5" ht="13.8">
      <c r="B94" s="9">
        <v>91</v>
      </c>
      <c r="C94" s="10" t="str">
        <f>IF(ISERROR(VLOOKUP(B94,Funções!$R$4:$S$455,2,0)),
        "",
         VLOOKUP(B94,Funções!$R$4:$S$455,2,0)
)</f>
        <v/>
      </c>
      <c r="D94" s="11">
        <f>SUMIF(Funções!$R$4:$R$455,B94,Funções!$P$4:$P$455)</f>
        <v>0</v>
      </c>
      <c r="E94" s="11">
        <f>SUMIF(Funções!$R$4:$R$455,B94,Funções!$Q$4:$Q$455)</f>
        <v>0</v>
      </c>
    </row>
    <row r="95" spans="2:5" ht="13.8">
      <c r="B95" s="9">
        <v>92</v>
      </c>
      <c r="C95" s="10" t="str">
        <f>IF(ISERROR(VLOOKUP(B95,Funções!$R$4:$S$455,2,0)),
        "",
         VLOOKUP(B95,Funções!$R$4:$S$455,2,0)
)</f>
        <v/>
      </c>
      <c r="D95" s="11">
        <f>SUMIF(Funções!$R$4:$R$455,B95,Funções!$P$4:$P$455)</f>
        <v>0</v>
      </c>
      <c r="E95" s="11">
        <f>SUMIF(Funções!$R$4:$R$455,B95,Funções!$Q$4:$Q$455)</f>
        <v>0</v>
      </c>
    </row>
    <row r="96" spans="2:5" ht="13.8">
      <c r="B96" s="9">
        <v>93</v>
      </c>
      <c r="C96" s="10" t="str">
        <f>IF(ISERROR(VLOOKUP(B96,Funções!$R$4:$S$455,2,0)),
        "",
         VLOOKUP(B96,Funções!$R$4:$S$455,2,0)
)</f>
        <v/>
      </c>
      <c r="D96" s="11">
        <f>SUMIF(Funções!$R$4:$R$455,B96,Funções!$P$4:$P$455)</f>
        <v>0</v>
      </c>
      <c r="E96" s="11">
        <f>SUMIF(Funções!$R$4:$R$455,B96,Funções!$Q$4:$Q$455)</f>
        <v>0</v>
      </c>
    </row>
    <row r="97" spans="2:5" ht="13.8">
      <c r="B97" s="9">
        <v>94</v>
      </c>
      <c r="C97" s="10" t="str">
        <f>IF(ISERROR(VLOOKUP(B97,Funções!$R$4:$S$455,2,0)),
        "",
         VLOOKUP(B97,Funções!$R$4:$S$455,2,0)
)</f>
        <v/>
      </c>
      <c r="D97" s="11">
        <f>SUMIF(Funções!$R$4:$R$455,B97,Funções!$P$4:$P$455)</f>
        <v>0</v>
      </c>
      <c r="E97" s="11">
        <f>SUMIF(Funções!$R$4:$R$455,B97,Funções!$Q$4:$Q$455)</f>
        <v>0</v>
      </c>
    </row>
    <row r="98" spans="2:5" ht="13.8">
      <c r="B98" s="9">
        <v>95</v>
      </c>
      <c r="C98" s="10" t="str">
        <f>IF(ISERROR(VLOOKUP(B98,Funções!$R$4:$S$455,2,0)),
        "",
         VLOOKUP(B98,Funções!$R$4:$S$455,2,0)
)</f>
        <v/>
      </c>
      <c r="D98" s="11">
        <f>SUMIF(Funções!$R$4:$R$455,B98,Funções!$P$4:$P$455)</f>
        <v>0</v>
      </c>
      <c r="E98" s="11">
        <f>SUMIF(Funções!$R$4:$R$455,B98,Funções!$Q$4:$Q$455)</f>
        <v>0</v>
      </c>
    </row>
    <row r="99" spans="2:5" ht="13.8">
      <c r="B99" s="9">
        <v>96</v>
      </c>
      <c r="C99" s="10" t="str">
        <f>IF(ISERROR(VLOOKUP(B99,Funções!$R$4:$S$455,2,0)),
        "",
         VLOOKUP(B99,Funções!$R$4:$S$455,2,0)
)</f>
        <v/>
      </c>
      <c r="D99" s="11">
        <f>SUMIF(Funções!$R$4:$R$455,B99,Funções!$P$4:$P$455)</f>
        <v>0</v>
      </c>
      <c r="E99" s="11">
        <f>SUMIF(Funções!$R$4:$R$455,B99,Funções!$Q$4:$Q$455)</f>
        <v>0</v>
      </c>
    </row>
    <row r="100" spans="2:5" ht="13.8">
      <c r="B100" s="9">
        <v>97</v>
      </c>
      <c r="C100" s="10" t="str">
        <f>IF(ISERROR(VLOOKUP(B100,Funções!$R$4:$S$455,2,0)),
        "",
         VLOOKUP(B100,Funções!$R$4:$S$455,2,0)
)</f>
        <v/>
      </c>
      <c r="D100" s="11">
        <f>SUMIF(Funções!$R$4:$R$455,B100,Funções!$P$4:$P$455)</f>
        <v>0</v>
      </c>
      <c r="E100" s="11">
        <f>SUMIF(Funções!$R$4:$R$455,B100,Funções!$Q$4:$Q$455)</f>
        <v>0</v>
      </c>
    </row>
    <row r="101" spans="2:5" ht="13.8">
      <c r="B101" s="9">
        <v>98</v>
      </c>
      <c r="C101" s="10" t="str">
        <f>IF(ISERROR(VLOOKUP(B101,Funções!$R$4:$S$455,2,0)),
        "",
         VLOOKUP(B101,Funções!$R$4:$S$455,2,0)
)</f>
        <v/>
      </c>
      <c r="D101" s="11">
        <f>SUMIF(Funções!$R$4:$R$455,B101,Funções!$P$4:$P$455)</f>
        <v>0</v>
      </c>
      <c r="E101" s="11">
        <f>SUMIF(Funções!$R$4:$R$455,B101,Funções!$Q$4:$Q$455)</f>
        <v>0</v>
      </c>
    </row>
    <row r="102" spans="2:5" ht="13.8">
      <c r="B102" s="9">
        <v>99</v>
      </c>
      <c r="C102" s="10" t="str">
        <f>IF(ISERROR(VLOOKUP(B102,Funções!$R$4:$S$455,2,0)),
        "",
         VLOOKUP(B102,Funções!$R$4:$S$455,2,0)
)</f>
        <v/>
      </c>
      <c r="D102" s="11">
        <f>SUMIF(Funções!$R$4:$R$455,B102,Funções!$P$4:$P$455)</f>
        <v>0</v>
      </c>
      <c r="E102" s="11">
        <f>SUMIF(Funções!$R$4:$R$455,B102,Funções!$Q$4:$Q$455)</f>
        <v>0</v>
      </c>
    </row>
    <row r="103" spans="2:5" ht="13.8">
      <c r="B103" s="9">
        <v>100</v>
      </c>
      <c r="C103" s="10" t="str">
        <f>IF(ISERROR(VLOOKUP(B103,Funções!$R$4:$S$455,2,0)),
        "",
         VLOOKUP(B103,Funções!$R$4:$S$455,2,0)
)</f>
        <v/>
      </c>
      <c r="D103" s="11">
        <f>SUMIF(Funções!$R$4:$R$455,B103,Funções!$P$4:$P$455)</f>
        <v>0</v>
      </c>
      <c r="E103" s="11">
        <f>SUMIF(Funções!$R$4:$R$455,B103,Funções!$Q$4:$Q$455)</f>
        <v>0</v>
      </c>
    </row>
    <row r="104" spans="2:5" ht="12.75" customHeight="1"/>
    <row r="105" spans="2:5" ht="12.75" customHeight="1"/>
    <row r="106" spans="2:5" ht="12.75" customHeight="1"/>
    <row r="107" spans="2:5" ht="12.75" customHeight="1"/>
    <row r="108" spans="2:5" ht="12.75" customHeight="1"/>
    <row r="109" spans="2:5" ht="12.75" customHeight="1"/>
    <row r="110" spans="2:5" ht="12.75" customHeight="1"/>
    <row r="111" spans="2:5" ht="12.75" customHeight="1"/>
    <row r="112" spans="2:5"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sheetData>
  <sheetProtection sheet="1" objects="1" scenarios="1"/>
  <mergeCells count="4">
    <mergeCell ref="B1:E1"/>
    <mergeCell ref="D2:E2"/>
    <mergeCell ref="B2:B3"/>
    <mergeCell ref="C2:C3"/>
  </mergeCells>
  <pageMargins left="0.511811024" right="0.511811024" top="0.78740157499999996" bottom="0.78740157499999996" header="0.31496062000000002" footer="0.31496062000000002"/>
  <headerFooter>
    <oddHeader>&amp;L&amp;"Aptos"&amp;10&amp;K0000FF Classificação: RESTRITA&amp;1#_x000D_</oddHeader>
  </headerFooter>
  <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G33"/>
  <sheetViews>
    <sheetView zoomScale="85" zoomScaleNormal="85" workbookViewId="0">
      <pane xSplit="2" ySplit="2" topLeftCell="C25" activePane="bottomRight" state="frozen"/>
      <selection pane="topRight" activeCell="C1" sqref="C1"/>
      <selection pane="bottomLeft" activeCell="A3" sqref="A3"/>
      <selection pane="bottomRight" activeCell="B31" sqref="B31"/>
    </sheetView>
  </sheetViews>
  <sheetFormatPr defaultColWidth="16.88671875" defaultRowHeight="14.4"/>
  <cols>
    <col min="1" max="1" width="13.5546875" style="2" bestFit="1" customWidth="1"/>
    <col min="2" max="2" width="69.33203125" style="4" customWidth="1"/>
    <col min="3" max="3" width="5.88671875" style="2" customWidth="1"/>
    <col min="4" max="4" width="30.109375" style="2" customWidth="1"/>
    <col min="5" max="5" width="16.88671875" style="2"/>
    <col min="6" max="6" width="68.5546875" style="2" customWidth="1"/>
    <col min="7" max="7" width="28.5546875" style="2" customWidth="1"/>
  </cols>
  <sheetData>
    <row r="1" spans="1:7" ht="36.75" customHeight="1">
      <c r="A1" s="193" t="s">
        <v>53</v>
      </c>
      <c r="B1" s="194"/>
      <c r="C1" s="194"/>
      <c r="D1" s="194"/>
      <c r="E1" s="194"/>
      <c r="F1" s="194"/>
      <c r="G1" s="195"/>
    </row>
    <row r="2" spans="1:7" ht="27.75" customHeight="1">
      <c r="A2" s="20" t="s">
        <v>23</v>
      </c>
      <c r="B2" s="21" t="s">
        <v>22</v>
      </c>
      <c r="C2" s="20" t="s">
        <v>24</v>
      </c>
      <c r="D2" s="20" t="s">
        <v>25</v>
      </c>
      <c r="E2" s="20" t="s">
        <v>54</v>
      </c>
      <c r="F2" s="20" t="s">
        <v>55</v>
      </c>
      <c r="G2" s="20" t="s">
        <v>8</v>
      </c>
    </row>
    <row r="3" spans="1:7" s="3" customFormat="1" ht="28.8">
      <c r="A3" s="103" t="s">
        <v>26</v>
      </c>
      <c r="B3" s="104" t="s">
        <v>165</v>
      </c>
      <c r="C3" s="103">
        <v>1</v>
      </c>
      <c r="D3" s="103" t="s">
        <v>166</v>
      </c>
      <c r="E3" s="103" t="s">
        <v>27</v>
      </c>
      <c r="F3" s="103" t="s">
        <v>34</v>
      </c>
      <c r="G3" s="103" t="s">
        <v>28</v>
      </c>
    </row>
    <row r="4" spans="1:7" ht="72">
      <c r="A4" s="47" t="s">
        <v>56</v>
      </c>
      <c r="B4" s="104" t="s">
        <v>62</v>
      </c>
      <c r="C4" s="47">
        <v>0.5</v>
      </c>
      <c r="D4" s="103" t="s">
        <v>167</v>
      </c>
      <c r="E4" s="103" t="s">
        <v>27</v>
      </c>
      <c r="F4" s="47" t="s">
        <v>59</v>
      </c>
      <c r="G4" s="103" t="s">
        <v>28</v>
      </c>
    </row>
    <row r="5" spans="1:7" ht="86.4">
      <c r="A5" s="47" t="s">
        <v>57</v>
      </c>
      <c r="B5" s="104" t="s">
        <v>168</v>
      </c>
      <c r="C5" s="47">
        <v>0.75</v>
      </c>
      <c r="D5" s="103" t="s">
        <v>167</v>
      </c>
      <c r="E5" s="103" t="s">
        <v>27</v>
      </c>
      <c r="F5" s="47" t="s">
        <v>60</v>
      </c>
      <c r="G5" s="103" t="s">
        <v>28</v>
      </c>
    </row>
    <row r="6" spans="1:7" ht="86.4">
      <c r="A6" s="47" t="s">
        <v>58</v>
      </c>
      <c r="B6" s="104" t="s">
        <v>169</v>
      </c>
      <c r="C6" s="47">
        <v>0.9</v>
      </c>
      <c r="D6" s="103" t="s">
        <v>167</v>
      </c>
      <c r="E6" s="103" t="s">
        <v>27</v>
      </c>
      <c r="F6" s="47" t="s">
        <v>61</v>
      </c>
      <c r="G6" s="103" t="s">
        <v>28</v>
      </c>
    </row>
    <row r="7" spans="1:7" ht="28.8">
      <c r="A7" s="47" t="s">
        <v>30</v>
      </c>
      <c r="B7" s="104" t="s">
        <v>170</v>
      </c>
      <c r="C7" s="47">
        <v>0.3</v>
      </c>
      <c r="D7" s="103" t="s">
        <v>167</v>
      </c>
      <c r="E7" s="103" t="s">
        <v>27</v>
      </c>
      <c r="F7" s="47" t="s">
        <v>36</v>
      </c>
      <c r="G7" s="103" t="s">
        <v>28</v>
      </c>
    </row>
    <row r="8" spans="1:7" ht="57.6">
      <c r="A8" s="47" t="s">
        <v>63</v>
      </c>
      <c r="B8" s="104" t="s">
        <v>65</v>
      </c>
      <c r="C8" s="47">
        <v>0.5</v>
      </c>
      <c r="D8" s="103" t="s">
        <v>171</v>
      </c>
      <c r="E8" s="103" t="s">
        <v>27</v>
      </c>
      <c r="F8" s="47" t="s">
        <v>33</v>
      </c>
      <c r="G8" s="103" t="s">
        <v>28</v>
      </c>
    </row>
    <row r="9" spans="1:7" ht="57.6">
      <c r="A9" s="47" t="s">
        <v>64</v>
      </c>
      <c r="B9" s="104" t="s">
        <v>66</v>
      </c>
      <c r="C9" s="47">
        <v>0.75</v>
      </c>
      <c r="D9" s="103" t="s">
        <v>171</v>
      </c>
      <c r="E9" s="103" t="s">
        <v>27</v>
      </c>
      <c r="F9" s="47" t="s">
        <v>60</v>
      </c>
      <c r="G9" s="103" t="s">
        <v>28</v>
      </c>
    </row>
    <row r="10" spans="1:7" ht="57.6">
      <c r="A10" s="47" t="s">
        <v>172</v>
      </c>
      <c r="B10" s="104" t="s">
        <v>173</v>
      </c>
      <c r="C10" s="47">
        <v>0.65</v>
      </c>
      <c r="D10" s="103" t="s">
        <v>171</v>
      </c>
      <c r="E10" s="103" t="s">
        <v>27</v>
      </c>
      <c r="F10" s="47" t="s">
        <v>174</v>
      </c>
      <c r="G10" s="103" t="s">
        <v>28</v>
      </c>
    </row>
    <row r="11" spans="1:7" ht="57.6">
      <c r="A11" s="47" t="s">
        <v>175</v>
      </c>
      <c r="B11" s="104" t="s">
        <v>176</v>
      </c>
      <c r="C11" s="47">
        <v>0.9</v>
      </c>
      <c r="D11" s="103" t="s">
        <v>171</v>
      </c>
      <c r="E11" s="103" t="s">
        <v>27</v>
      </c>
      <c r="F11" s="47" t="s">
        <v>61</v>
      </c>
      <c r="G11" s="103" t="s">
        <v>28</v>
      </c>
    </row>
    <row r="12" spans="1:7" ht="57.6">
      <c r="A12" s="47" t="s">
        <v>67</v>
      </c>
      <c r="B12" s="104" t="s">
        <v>68</v>
      </c>
      <c r="C12" s="47">
        <v>1</v>
      </c>
      <c r="D12" s="103" t="s">
        <v>177</v>
      </c>
      <c r="E12" s="103" t="s">
        <v>27</v>
      </c>
      <c r="F12" s="103" t="s">
        <v>34</v>
      </c>
      <c r="G12" s="103" t="s">
        <v>28</v>
      </c>
    </row>
    <row r="13" spans="1:7" ht="43.2">
      <c r="A13" s="47" t="s">
        <v>178</v>
      </c>
      <c r="B13" s="104" t="s">
        <v>179</v>
      </c>
      <c r="C13" s="47">
        <v>1</v>
      </c>
      <c r="D13" s="103" t="s">
        <v>180</v>
      </c>
      <c r="E13" s="103" t="s">
        <v>27</v>
      </c>
      <c r="F13" s="103" t="s">
        <v>34</v>
      </c>
      <c r="G13" s="103" t="s">
        <v>28</v>
      </c>
    </row>
    <row r="14" spans="1:7" ht="43.2">
      <c r="A14" s="47" t="s">
        <v>69</v>
      </c>
      <c r="B14" s="104" t="s">
        <v>181</v>
      </c>
      <c r="C14" s="47">
        <v>0.3</v>
      </c>
      <c r="D14" s="103" t="s">
        <v>180</v>
      </c>
      <c r="E14" s="103" t="s">
        <v>27</v>
      </c>
      <c r="F14" s="47" t="s">
        <v>36</v>
      </c>
      <c r="G14" s="103" t="s">
        <v>28</v>
      </c>
    </row>
    <row r="15" spans="1:7" ht="57.6">
      <c r="A15" s="47" t="s">
        <v>37</v>
      </c>
      <c r="B15" s="104" t="s">
        <v>70</v>
      </c>
      <c r="C15" s="47">
        <v>0.3</v>
      </c>
      <c r="D15" s="103" t="s">
        <v>182</v>
      </c>
      <c r="E15" s="103" t="s">
        <v>27</v>
      </c>
      <c r="F15" s="47" t="s">
        <v>36</v>
      </c>
      <c r="G15" s="103" t="s">
        <v>28</v>
      </c>
    </row>
    <row r="16" spans="1:7" ht="57.6">
      <c r="A16" s="47" t="s">
        <v>71</v>
      </c>
      <c r="B16" s="104" t="s">
        <v>72</v>
      </c>
      <c r="C16" s="47">
        <v>0.6</v>
      </c>
      <c r="D16" s="103" t="s">
        <v>183</v>
      </c>
      <c r="E16" s="47" t="s">
        <v>29</v>
      </c>
      <c r="F16" s="47" t="s">
        <v>73</v>
      </c>
      <c r="G16" s="47" t="s">
        <v>31</v>
      </c>
    </row>
    <row r="17" spans="1:7" ht="72">
      <c r="A17" s="47" t="s">
        <v>74</v>
      </c>
      <c r="B17" s="104" t="s">
        <v>77</v>
      </c>
      <c r="C17" s="47">
        <v>0.5</v>
      </c>
      <c r="D17" s="103" t="s">
        <v>184</v>
      </c>
      <c r="E17" s="103" t="s">
        <v>27</v>
      </c>
      <c r="F17" s="47" t="s">
        <v>33</v>
      </c>
      <c r="G17" s="103" t="s">
        <v>28</v>
      </c>
    </row>
    <row r="18" spans="1:7" ht="72">
      <c r="A18" s="47" t="s">
        <v>75</v>
      </c>
      <c r="B18" s="104" t="s">
        <v>76</v>
      </c>
      <c r="C18" s="47">
        <v>0.75</v>
      </c>
      <c r="D18" s="103" t="s">
        <v>184</v>
      </c>
      <c r="E18" s="103" t="s">
        <v>27</v>
      </c>
      <c r="F18" s="47" t="s">
        <v>60</v>
      </c>
      <c r="G18" s="103" t="s">
        <v>28</v>
      </c>
    </row>
    <row r="19" spans="1:7" ht="43.2">
      <c r="A19" s="47" t="s">
        <v>78</v>
      </c>
      <c r="B19" s="104" t="s">
        <v>80</v>
      </c>
      <c r="C19" s="47">
        <v>1</v>
      </c>
      <c r="D19" s="103" t="s">
        <v>185</v>
      </c>
      <c r="E19" s="103" t="s">
        <v>27</v>
      </c>
      <c r="F19" s="103" t="s">
        <v>34</v>
      </c>
      <c r="G19" s="103" t="s">
        <v>28</v>
      </c>
    </row>
    <row r="20" spans="1:7" ht="57.6">
      <c r="A20" s="47" t="s">
        <v>81</v>
      </c>
      <c r="B20" s="104" t="s">
        <v>79</v>
      </c>
      <c r="C20" s="47">
        <v>1</v>
      </c>
      <c r="D20" s="103" t="s">
        <v>185</v>
      </c>
      <c r="E20" s="103" t="s">
        <v>27</v>
      </c>
      <c r="F20" s="103" t="s">
        <v>34</v>
      </c>
      <c r="G20" s="103" t="s">
        <v>28</v>
      </c>
    </row>
    <row r="21" spans="1:7" ht="57.6">
      <c r="A21" s="47" t="s">
        <v>83</v>
      </c>
      <c r="B21" s="104" t="s">
        <v>82</v>
      </c>
      <c r="C21" s="47">
        <v>0.6</v>
      </c>
      <c r="D21" s="103" t="s">
        <v>185</v>
      </c>
      <c r="E21" s="103" t="s">
        <v>27</v>
      </c>
      <c r="F21" s="47" t="s">
        <v>84</v>
      </c>
      <c r="G21" s="103" t="s">
        <v>28</v>
      </c>
    </row>
    <row r="22" spans="1:7" ht="43.2">
      <c r="A22" s="47" t="s">
        <v>85</v>
      </c>
      <c r="B22" s="104" t="s">
        <v>86</v>
      </c>
      <c r="C22" s="47">
        <v>1</v>
      </c>
      <c r="D22" s="103" t="s">
        <v>186</v>
      </c>
      <c r="E22" s="103" t="s">
        <v>27</v>
      </c>
      <c r="F22" s="103" t="s">
        <v>34</v>
      </c>
      <c r="G22" s="103" t="s">
        <v>28</v>
      </c>
    </row>
    <row r="23" spans="1:7" ht="43.2">
      <c r="A23" s="47" t="s">
        <v>87</v>
      </c>
      <c r="B23" s="104" t="s">
        <v>187</v>
      </c>
      <c r="C23" s="47">
        <v>0.1</v>
      </c>
      <c r="D23" s="103" t="s">
        <v>188</v>
      </c>
      <c r="E23" s="103" t="s">
        <v>27</v>
      </c>
      <c r="F23" s="47" t="s">
        <v>38</v>
      </c>
      <c r="G23" s="103" t="s">
        <v>28</v>
      </c>
    </row>
    <row r="24" spans="1:7" ht="43.2">
      <c r="A24" s="47" t="s">
        <v>89</v>
      </c>
      <c r="B24" s="104" t="s">
        <v>88</v>
      </c>
      <c r="C24" s="47">
        <v>0.1</v>
      </c>
      <c r="D24" s="103" t="s">
        <v>189</v>
      </c>
      <c r="E24" s="103" t="s">
        <v>27</v>
      </c>
      <c r="F24" s="47" t="s">
        <v>38</v>
      </c>
      <c r="G24" s="103" t="s">
        <v>28</v>
      </c>
    </row>
    <row r="25" spans="1:7" ht="86.4">
      <c r="A25" s="47" t="s">
        <v>190</v>
      </c>
      <c r="B25" s="104" t="s">
        <v>191</v>
      </c>
      <c r="C25" s="47">
        <v>0.6</v>
      </c>
      <c r="D25" s="103" t="s">
        <v>192</v>
      </c>
      <c r="E25" s="47" t="s">
        <v>29</v>
      </c>
      <c r="F25" s="47" t="s">
        <v>73</v>
      </c>
      <c r="G25" s="47" t="s">
        <v>31</v>
      </c>
    </row>
    <row r="26" spans="1:7" ht="57.6">
      <c r="A26" s="47" t="s">
        <v>90</v>
      </c>
      <c r="B26" s="104" t="s">
        <v>193</v>
      </c>
      <c r="C26" s="47">
        <v>0.25</v>
      </c>
      <c r="D26" s="103" t="s">
        <v>194</v>
      </c>
      <c r="E26" s="103" t="s">
        <v>27</v>
      </c>
      <c r="F26" s="47" t="s">
        <v>35</v>
      </c>
      <c r="G26" s="103" t="s">
        <v>28</v>
      </c>
    </row>
    <row r="27" spans="1:7" ht="86.4">
      <c r="A27" s="47" t="s">
        <v>91</v>
      </c>
      <c r="B27" s="104" t="s">
        <v>195</v>
      </c>
      <c r="C27" s="47">
        <v>0.2</v>
      </c>
      <c r="D27" s="103" t="s">
        <v>196</v>
      </c>
      <c r="E27" s="103" t="s">
        <v>27</v>
      </c>
      <c r="F27" s="47" t="s">
        <v>32</v>
      </c>
      <c r="G27" s="103" t="s">
        <v>28</v>
      </c>
    </row>
    <row r="28" spans="1:7" ht="86.4">
      <c r="A28" s="47" t="s">
        <v>92</v>
      </c>
      <c r="B28" s="104" t="s">
        <v>197</v>
      </c>
      <c r="C28" s="47">
        <v>0.15</v>
      </c>
      <c r="D28" s="103" t="s">
        <v>196</v>
      </c>
      <c r="E28" s="103" t="s">
        <v>27</v>
      </c>
      <c r="F28" s="47" t="s">
        <v>93</v>
      </c>
      <c r="G28" s="103" t="s">
        <v>28</v>
      </c>
    </row>
    <row r="29" spans="1:7" ht="28.8">
      <c r="A29" s="47" t="s">
        <v>94</v>
      </c>
      <c r="B29" s="104" t="s">
        <v>198</v>
      </c>
      <c r="C29" s="47">
        <v>0.15</v>
      </c>
      <c r="D29" s="103" t="s">
        <v>199</v>
      </c>
      <c r="E29" s="103" t="s">
        <v>27</v>
      </c>
      <c r="F29" s="47" t="s">
        <v>93</v>
      </c>
      <c r="G29" s="103" t="s">
        <v>28</v>
      </c>
    </row>
    <row r="30" spans="1:7" ht="43.2">
      <c r="A30" s="47" t="s">
        <v>95</v>
      </c>
      <c r="B30" s="104" t="s">
        <v>96</v>
      </c>
      <c r="C30" s="47">
        <v>1</v>
      </c>
      <c r="D30" s="47" t="s">
        <v>200</v>
      </c>
      <c r="E30" s="47" t="s">
        <v>27</v>
      </c>
      <c r="F30" s="47" t="s">
        <v>201</v>
      </c>
      <c r="G30" s="103" t="s">
        <v>28</v>
      </c>
    </row>
    <row r="31" spans="1:7" ht="72">
      <c r="A31" s="47" t="s">
        <v>202</v>
      </c>
      <c r="B31" s="104" t="s">
        <v>203</v>
      </c>
      <c r="C31" s="47">
        <v>0.6</v>
      </c>
      <c r="D31" s="47" t="s">
        <v>200</v>
      </c>
      <c r="E31" s="47" t="s">
        <v>29</v>
      </c>
      <c r="F31" s="47" t="s">
        <v>204</v>
      </c>
      <c r="G31" s="47" t="s">
        <v>31</v>
      </c>
    </row>
    <row r="32" spans="1:7" ht="43.2">
      <c r="A32" s="47" t="s">
        <v>205</v>
      </c>
      <c r="B32" s="104" t="s">
        <v>206</v>
      </c>
      <c r="C32" s="47">
        <v>1</v>
      </c>
      <c r="D32" s="103" t="s">
        <v>207</v>
      </c>
      <c r="E32" s="47" t="s">
        <v>29</v>
      </c>
      <c r="F32" s="47" t="s">
        <v>208</v>
      </c>
      <c r="G32" s="47" t="s">
        <v>31</v>
      </c>
    </row>
    <row r="33" spans="1:7" ht="12" customHeight="1">
      <c r="A33" s="196"/>
      <c r="B33" s="197"/>
      <c r="C33" s="197"/>
      <c r="D33" s="197"/>
      <c r="E33" s="197"/>
      <c r="F33" s="197"/>
      <c r="G33" s="198"/>
    </row>
  </sheetData>
  <mergeCells count="2">
    <mergeCell ref="A1:G1"/>
    <mergeCell ref="A33:G33"/>
  </mergeCells>
  <pageMargins left="0.511811024" right="0.511811024" top="0.78740157499999996" bottom="0.78740157499999996" header="0.31496062000000002" footer="0.31496062000000002"/>
  <pageSetup paperSize="9" orientation="portrait" r:id="rId1"/>
  <headerFooter>
    <oddHeader>&amp;L&amp;"Aptos"&amp;10&amp;K0000FF Classificação: RESTRITA&amp;1#_x000D_</oddHeader>
  </headerFooter>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I17"/>
  <sheetViews>
    <sheetView showGridLines="0" workbookViewId="0">
      <selection activeCell="H26" sqref="H26"/>
    </sheetView>
  </sheetViews>
  <sheetFormatPr defaultColWidth="29.5546875" defaultRowHeight="13.8"/>
  <cols>
    <col min="1" max="1" width="1.109375" style="22" customWidth="1"/>
    <col min="2" max="2" width="29.33203125" style="22" bestFit="1" customWidth="1"/>
    <col min="3" max="3" width="9.6640625" style="22" customWidth="1"/>
    <col min="4" max="9" width="6.109375" style="22" customWidth="1"/>
    <col min="10" max="16384" width="29.5546875" style="22"/>
  </cols>
  <sheetData>
    <row r="1" spans="2:9" ht="7.95" customHeight="1" thickBot="1"/>
    <row r="2" spans="2:9" ht="15.6">
      <c r="B2" s="202" t="str">
        <f>_xlfn.CONCAT("Resumo da contagem"," ",'Dados da OS'!D6)</f>
        <v>Resumo da contagem SIGRH - Sistema Integrado de Gestão de Recursos Humanos</v>
      </c>
      <c r="C2" s="203"/>
      <c r="D2" s="203"/>
      <c r="E2" s="203"/>
      <c r="F2" s="203"/>
      <c r="G2" s="203"/>
      <c r="H2" s="203"/>
      <c r="I2" s="204"/>
    </row>
    <row r="3" spans="2:9">
      <c r="B3" s="206" t="s">
        <v>100</v>
      </c>
      <c r="C3" s="208" t="s">
        <v>101</v>
      </c>
      <c r="D3" s="212" t="s">
        <v>103</v>
      </c>
      <c r="E3" s="213"/>
      <c r="F3" s="213"/>
      <c r="G3" s="213"/>
      <c r="H3" s="213"/>
      <c r="I3" s="214"/>
    </row>
    <row r="4" spans="2:9">
      <c r="B4" s="206"/>
      <c r="C4" s="208"/>
      <c r="D4" s="212" t="s">
        <v>104</v>
      </c>
      <c r="E4" s="213"/>
      <c r="F4" s="213" t="s">
        <v>105</v>
      </c>
      <c r="G4" s="213"/>
      <c r="H4" s="213" t="s">
        <v>106</v>
      </c>
      <c r="I4" s="214"/>
    </row>
    <row r="5" spans="2:9">
      <c r="B5" s="206"/>
      <c r="C5" s="208"/>
      <c r="D5" s="30" t="s">
        <v>107</v>
      </c>
      <c r="E5" s="29" t="s">
        <v>108</v>
      </c>
      <c r="F5" s="29" t="s">
        <v>107</v>
      </c>
      <c r="G5" s="29" t="s">
        <v>108</v>
      </c>
      <c r="H5" s="29" t="s">
        <v>107</v>
      </c>
      <c r="I5" s="31" t="s">
        <v>108</v>
      </c>
    </row>
    <row r="6" spans="2:9">
      <c r="B6" s="32" t="s">
        <v>99</v>
      </c>
      <c r="C6" s="26">
        <f>SUMIFS(Funções!Q4:Q455,Funções!B4:B455,"ALI")</f>
        <v>0</v>
      </c>
      <c r="D6" s="27">
        <f>COUNTIFS(Funções!B4:B455,"ALI",Funções!O4:O455,"BAIXA")</f>
        <v>0</v>
      </c>
      <c r="E6" s="28">
        <f>SUMIFS(Funções!Q4:Q455,Funções!B4:B455,"ALI",Funções!O4:O455,"BAIXA")</f>
        <v>0</v>
      </c>
      <c r="F6" s="28">
        <f>COUNTIFS(Funções!B4:B455,"ALI",Funções!O4:O455,"MÉDIA")</f>
        <v>0</v>
      </c>
      <c r="G6" s="28">
        <f>SUMIFS(Funções!Q4:Q455,Funções!B4:B455,"ALI",Funções!O4:O455,"MÉDIA")</f>
        <v>0</v>
      </c>
      <c r="H6" s="28">
        <f>COUNTIFS(Funções!B4:B455,"ALI",Funções!O4:O455,"ALTA")</f>
        <v>0</v>
      </c>
      <c r="I6" s="33">
        <f>SUMIFS(Funções!Q4:Q455,Funções!B4:B455,"ALI",Funções!O4:O455,"ALTA")</f>
        <v>0</v>
      </c>
    </row>
    <row r="7" spans="2:9">
      <c r="B7" s="32" t="s">
        <v>102</v>
      </c>
      <c r="C7" s="26">
        <f>SUMIFS(Funções!Q4:Q455,Funções!B4:B455,"AIE")</f>
        <v>0</v>
      </c>
      <c r="D7" s="27">
        <f>COUNTIFS(Funções!B4:B455,"AIE",Funções!O4:O455,"BAIXA")</f>
        <v>0</v>
      </c>
      <c r="E7" s="28">
        <f>SUMIFS(Funções!Q4:Q455,Funções!B4:B455,"AIE",Funções!O4:O455,"BAIXA")</f>
        <v>0</v>
      </c>
      <c r="F7" s="28">
        <f>COUNTIFS(Funções!B4:B455,"AIE",Funções!O4:O455,"MÉDIA")</f>
        <v>0</v>
      </c>
      <c r="G7" s="28">
        <f>SUMIFS(Funções!Q4:Q455,Funções!B4:B455,"AIE",Funções!O4:O455,"MÉDIA")</f>
        <v>0</v>
      </c>
      <c r="H7" s="28">
        <f>COUNTIFS(Funções!B4:B455,"AIE",Funções!O4:O455,"ALTA")</f>
        <v>0</v>
      </c>
      <c r="I7" s="33">
        <f>SUMIFS(Funções!Q4:Q455,Funções!B4:B455,"AIE",Funções!O4:O455,"ALTA")</f>
        <v>0</v>
      </c>
    </row>
    <row r="8" spans="2:9" ht="14.4" thickBot="1">
      <c r="B8" s="39" t="s">
        <v>114</v>
      </c>
      <c r="C8" s="40">
        <f>C6+C7</f>
        <v>0</v>
      </c>
      <c r="D8" s="41"/>
      <c r="E8" s="41"/>
      <c r="F8" s="41"/>
      <c r="G8" s="41"/>
      <c r="H8" s="41"/>
      <c r="I8" s="42"/>
    </row>
    <row r="9" spans="2:9">
      <c r="B9" s="205" t="s">
        <v>109</v>
      </c>
      <c r="C9" s="207" t="s">
        <v>101</v>
      </c>
      <c r="D9" s="209" t="s">
        <v>103</v>
      </c>
      <c r="E9" s="210"/>
      <c r="F9" s="210"/>
      <c r="G9" s="210"/>
      <c r="H9" s="210"/>
      <c r="I9" s="211"/>
    </row>
    <row r="10" spans="2:9">
      <c r="B10" s="206"/>
      <c r="C10" s="208"/>
      <c r="D10" s="212" t="s">
        <v>104</v>
      </c>
      <c r="E10" s="213"/>
      <c r="F10" s="213" t="s">
        <v>105</v>
      </c>
      <c r="G10" s="213"/>
      <c r="H10" s="213" t="s">
        <v>106</v>
      </c>
      <c r="I10" s="214"/>
    </row>
    <row r="11" spans="2:9">
      <c r="B11" s="206"/>
      <c r="C11" s="208"/>
      <c r="D11" s="30" t="s">
        <v>107</v>
      </c>
      <c r="E11" s="29" t="s">
        <v>108</v>
      </c>
      <c r="F11" s="29" t="s">
        <v>107</v>
      </c>
      <c r="G11" s="29" t="s">
        <v>108</v>
      </c>
      <c r="H11" s="29" t="s">
        <v>107</v>
      </c>
      <c r="I11" s="31" t="s">
        <v>108</v>
      </c>
    </row>
    <row r="12" spans="2:9">
      <c r="B12" s="32" t="s">
        <v>110</v>
      </c>
      <c r="C12" s="23">
        <f>SUMIFS(Funções!Q4:Q455,Funções!B4:B455,"EE")</f>
        <v>76</v>
      </c>
      <c r="D12" s="25">
        <f>COUNTIFS(Funções!B4:B455,"EE",Funções!O4:O455,"BAIXA")</f>
        <v>4</v>
      </c>
      <c r="E12" s="24">
        <f>SUMIFS(Funções!Q4:Q455,Funções!B4:B455,"EE",Funções!O4:O455,"BAIXA")</f>
        <v>6</v>
      </c>
      <c r="F12" s="24">
        <f>COUNTIFS(Funções!B4:B455,"EE",Funções!O4:O455,"MÉDIA")</f>
        <v>8</v>
      </c>
      <c r="G12" s="24">
        <f>SUMIFS(Funções!Q4:Q455,Funções!B4:B455,"EE",Funções!O4:O455,"MÉDIA")</f>
        <v>16</v>
      </c>
      <c r="H12" s="24">
        <f>COUNTIFS(Funções!B4:B455,"EE",Funções!O4:O455,"ALTA")</f>
        <v>18</v>
      </c>
      <c r="I12" s="34">
        <f>SUMIFS(Funções!Q4:Q455,Funções!B4:B455,"EE",Funções!O4:O455,"ALTA")</f>
        <v>54</v>
      </c>
    </row>
    <row r="13" spans="2:9">
      <c r="B13" s="32" t="s">
        <v>111</v>
      </c>
      <c r="C13" s="23">
        <f>SUMIFS(Funções!Q4:Q455,Funções!B4:B455,"CE")</f>
        <v>10.5</v>
      </c>
      <c r="D13" s="25">
        <f>COUNTIFS(Funções!B4:B455,"CE",Funções!O4:O455,"BAIXA")</f>
        <v>3</v>
      </c>
      <c r="E13" s="24">
        <f>SUMIFS(Funções!Q4:Q455,Funções!B4:B455,"CE",Funções!O4:O455,"BAIXA")</f>
        <v>4.5</v>
      </c>
      <c r="F13" s="24">
        <f>COUNTIFS(Funções!B4:B455,"CE",Funções!O4:O455,"MÉDIA")</f>
        <v>3</v>
      </c>
      <c r="G13" s="24">
        <f>SUMIFS(Funções!Q4:Q455,Funções!B4:B455,"CE",Funções!O4:O455,"MÉDIA")</f>
        <v>6</v>
      </c>
      <c r="H13" s="24">
        <f>COUNTIFS(Funções!B4:B455,"CE",Funções!O4:O455,"ALTA")</f>
        <v>0</v>
      </c>
      <c r="I13" s="34">
        <f>SUMIFS(Funções!Q4:Q455,Funções!B4:B455,"CE",Funções!O4:O455,"ALTA")</f>
        <v>0</v>
      </c>
    </row>
    <row r="14" spans="2:9">
      <c r="B14" s="32" t="s">
        <v>112</v>
      </c>
      <c r="C14" s="23">
        <f>SUMIFS(Funções!Q4:Q455,Funções!B4:B455,"SE")</f>
        <v>0</v>
      </c>
      <c r="D14" s="25">
        <f>COUNTIFS(Funções!B4:B455,"SE",Funções!O4:O455,"BAIXA")</f>
        <v>0</v>
      </c>
      <c r="E14" s="24">
        <f>SUMIFS(Funções!Q4:Q455,Funções!B4:B455,"SE",Funções!O4:O455,"BAIXA")</f>
        <v>0</v>
      </c>
      <c r="F14" s="24">
        <f>COUNTIFS(Funções!B4:B455,"SE",Funções!O4:O455,"MÉDIA")</f>
        <v>0</v>
      </c>
      <c r="G14" s="24">
        <f>SUMIFS(Funções!Q4:Q455,Funções!B4:B455,"SE",Funções!O4:O455,"MÉDIA")</f>
        <v>0</v>
      </c>
      <c r="H14" s="24">
        <f>COUNTIFS(Funções!B4:B455,"SE",Funções!O4:O455,"ALTA")</f>
        <v>0</v>
      </c>
      <c r="I14" s="34">
        <f>SUMIFS(Funções!Q4:Q455,Funções!B4:B455,"SE",Funções!O4:O455,"ALTA")</f>
        <v>0</v>
      </c>
    </row>
    <row r="15" spans="2:9" ht="14.4" thickBot="1">
      <c r="B15" s="39" t="s">
        <v>115</v>
      </c>
      <c r="C15" s="40">
        <f>SUM(C12:C14)</f>
        <v>86.5</v>
      </c>
      <c r="D15" s="37"/>
      <c r="E15" s="37"/>
      <c r="F15" s="37"/>
      <c r="G15" s="37"/>
      <c r="H15" s="37"/>
      <c r="I15" s="38"/>
    </row>
    <row r="16" spans="2:9" ht="14.4" thickBot="1">
      <c r="B16" s="43" t="s">
        <v>116</v>
      </c>
      <c r="C16" s="44">
        <f>SUMIFS(Funções!Q4:Q455,Funções!B4:B455,"INM")</f>
        <v>0</v>
      </c>
      <c r="D16" s="35"/>
      <c r="E16" s="35"/>
      <c r="F16" s="35"/>
      <c r="G16" s="35"/>
      <c r="H16" s="35"/>
      <c r="I16" s="36"/>
    </row>
    <row r="17" spans="2:9" ht="15" customHeight="1" thickBot="1">
      <c r="B17" s="45" t="s">
        <v>113</v>
      </c>
      <c r="C17" s="199" t="str">
        <f>_xlfn.CONCAT(SUM(C6:C7,C12:C14)," Pontos de Função")</f>
        <v>86,5 Pontos de Função</v>
      </c>
      <c r="D17" s="200"/>
      <c r="E17" s="200"/>
      <c r="F17" s="200"/>
      <c r="G17" s="200"/>
      <c r="H17" s="200"/>
      <c r="I17" s="201"/>
    </row>
  </sheetData>
  <sheetProtection algorithmName="SHA-512" hashValue="hQ30hxECS/5XCH5G32l0zwDzQkpKsklo3kI1h7iG6gaiYZzCOc1XFZqqINtIdrKKojFv9b0Wba+NcTp/6CCilA==" saltValue="Yn85sXy2ftbOwtDMpHMysg==" spinCount="100000" sheet="1" objects="1" scenarios="1"/>
  <mergeCells count="14">
    <mergeCell ref="C17:I17"/>
    <mergeCell ref="B2:I2"/>
    <mergeCell ref="B9:B11"/>
    <mergeCell ref="C9:C11"/>
    <mergeCell ref="D9:I9"/>
    <mergeCell ref="D10:E10"/>
    <mergeCell ref="F10:G10"/>
    <mergeCell ref="H10:I10"/>
    <mergeCell ref="B3:B5"/>
    <mergeCell ref="C3:C5"/>
    <mergeCell ref="D3:I3"/>
    <mergeCell ref="D4:E4"/>
    <mergeCell ref="F4:G4"/>
    <mergeCell ref="H4:I4"/>
  </mergeCells>
  <conditionalFormatting sqref="C6:C8">
    <cfRule type="expression" dxfId="1" priority="4">
      <formula>B6=""</formula>
    </cfRule>
  </conditionalFormatting>
  <conditionalFormatting sqref="C12:C17">
    <cfRule type="expression" dxfId="0" priority="1">
      <formula>B12=""</formula>
    </cfRule>
  </conditionalFormatting>
  <pageMargins left="0.511811024" right="0.511811024" top="0.78740157499999996" bottom="0.78740157499999996" header="0.31496062000000002" footer="0.31496062000000002"/>
  <pageSetup paperSize="9" orientation="portrait" r:id="rId1"/>
  <headerFooter>
    <oddHeader>&amp;L&amp;"Aptos"&amp;10&amp;K0000FF Classificação: RESTRITA&amp;1#_x000D_</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0725F6-F36B-4A92-BCE2-F540DA26E817}">
  <dimension ref="A1:D15"/>
  <sheetViews>
    <sheetView zoomScaleNormal="100" workbookViewId="0">
      <selection activeCell="D12" sqref="D12"/>
    </sheetView>
  </sheetViews>
  <sheetFormatPr defaultRowHeight="14.4"/>
  <cols>
    <col min="1" max="2" width="33.5546875" customWidth="1"/>
    <col min="3" max="3" width="22.109375" customWidth="1"/>
    <col min="4" max="4" width="39.33203125" bestFit="1" customWidth="1"/>
  </cols>
  <sheetData>
    <row r="1" spans="1:4">
      <c r="A1" s="46" t="s">
        <v>134</v>
      </c>
      <c r="B1" s="46" t="s">
        <v>132</v>
      </c>
      <c r="C1" s="46" t="s">
        <v>133</v>
      </c>
      <c r="D1" s="46" t="s">
        <v>160</v>
      </c>
    </row>
    <row r="2" spans="1:4">
      <c r="A2" s="47"/>
      <c r="B2" s="47" t="s">
        <v>145</v>
      </c>
      <c r="C2" s="47" t="s">
        <v>121</v>
      </c>
      <c r="D2" s="50" t="s">
        <v>152</v>
      </c>
    </row>
    <row r="3" spans="1:4">
      <c r="A3" s="47" t="s">
        <v>135</v>
      </c>
      <c r="B3" s="47" t="s">
        <v>128</v>
      </c>
      <c r="C3" s="47" t="s">
        <v>122</v>
      </c>
      <c r="D3" s="10" t="s">
        <v>153</v>
      </c>
    </row>
    <row r="4" spans="1:4">
      <c r="A4" s="47" t="s">
        <v>136</v>
      </c>
      <c r="B4" s="47" t="s">
        <v>129</v>
      </c>
      <c r="C4" s="47" t="s">
        <v>123</v>
      </c>
      <c r="D4" s="10" t="s">
        <v>154</v>
      </c>
    </row>
    <row r="5" spans="1:4">
      <c r="A5" s="47" t="s">
        <v>147</v>
      </c>
      <c r="B5" s="47" t="s">
        <v>130</v>
      </c>
      <c r="C5" s="47" t="s">
        <v>124</v>
      </c>
      <c r="D5" s="10" t="s">
        <v>155</v>
      </c>
    </row>
    <row r="6" spans="1:4">
      <c r="A6" s="47" t="s">
        <v>136</v>
      </c>
      <c r="B6" s="47" t="s">
        <v>131</v>
      </c>
      <c r="C6" s="47" t="s">
        <v>125</v>
      </c>
      <c r="D6" s="10" t="s">
        <v>156</v>
      </c>
    </row>
    <row r="7" spans="1:4">
      <c r="C7" s="47" t="s">
        <v>31</v>
      </c>
    </row>
    <row r="8" spans="1:4">
      <c r="C8" s="47" t="s">
        <v>148</v>
      </c>
    </row>
    <row r="9" spans="1:4">
      <c r="C9" s="47" t="s">
        <v>126</v>
      </c>
    </row>
    <row r="10" spans="1:4">
      <c r="C10" s="47" t="s">
        <v>127</v>
      </c>
    </row>
    <row r="11" spans="1:4">
      <c r="C11" s="47" t="s">
        <v>31</v>
      </c>
    </row>
    <row r="12" spans="1:4">
      <c r="C12" s="47" t="s">
        <v>148</v>
      </c>
    </row>
    <row r="13" spans="1:4">
      <c r="C13" s="47" t="s">
        <v>124</v>
      </c>
    </row>
    <row r="14" spans="1:4">
      <c r="C14" s="47" t="s">
        <v>125</v>
      </c>
    </row>
    <row r="15" spans="1:4">
      <c r="C15" s="47" t="s">
        <v>148</v>
      </c>
    </row>
  </sheetData>
  <pageMargins left="0.511811024" right="0.511811024" top="0.78740157499999996" bottom="0.78740157499999996" header="0.31496062000000002" footer="0.31496062000000002"/>
  <headerFooter>
    <oddHeader>&amp;L&amp;"Aptos"&amp;10&amp;K0000FF Classificação: RESTRITA&amp;1#_x000D_</odd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2A4B4E0140DDE149B511FAEC0BA2340E" ma:contentTypeVersion="9" ma:contentTypeDescription="Crie um novo documento." ma:contentTypeScope="" ma:versionID="ca02b9313b58acb0455e03df111c3ca3">
  <xsd:schema xmlns:xsd="http://www.w3.org/2001/XMLSchema" xmlns:xs="http://www.w3.org/2001/XMLSchema" xmlns:p="http://schemas.microsoft.com/office/2006/metadata/properties" xmlns:ns2="b73a663f-0de1-40d5-aea2-ad4a4134c6db" xmlns:ns3="78ac0673-ae12-4826-8e5b-472e759546e6" targetNamespace="http://schemas.microsoft.com/office/2006/metadata/properties" ma:root="true" ma:fieldsID="1804079ef6cd2fdf936e8f5633bdd5b9" ns2:_="" ns3:_="">
    <xsd:import namespace="b73a663f-0de1-40d5-aea2-ad4a4134c6db"/>
    <xsd:import namespace="78ac0673-ae12-4826-8e5b-472e759546e6"/>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73a663f-0de1-40d5-aea2-ad4a4134c6db" elementFormDefault="qualified">
    <xsd:import namespace="http://schemas.microsoft.com/office/2006/documentManagement/types"/>
    <xsd:import namespace="http://schemas.microsoft.com/office/infopath/2007/PartnerControls"/>
    <xsd:element name="SharedWithUsers" ma:index="8" nillable="true" ma:displayName="Compartilhado com"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Detalhes de Compartilhado Com"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78ac0673-ae12-4826-8e5b-472e759546e6"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4.xml>��< ? x m l   v e r s i o n = " 1 . 0 "   e n c o d i n g = " u t f - 1 6 " ? > < D a t a M a s h u p   x m l n s = " h t t p : / / s c h e m a s . m i c r o s o f t . c o m / D a t a M a s h u p " > A A A A A K c D A A B Q S w M E F A A C A A g A I J l z W s P F S M K l A A A A 9 g A A A B I A H A B D b 2 5 m a W c v U G F j a 2 F n Z S 5 4 b W w g o h g A K K A U A A A A A A A A A A A A A A A A A A A A A A A A A A A A h Y 9 B D o I w F E S v Q r q n L Y i J I Z + S 6 F Y S o 4 l x 2 5 Q K D V A I L Z a 7 u f B I X k G M o u 5 c z p u 3 m L l f b 5 C O T e 1 d Z G 9 U q x M U Y I o 8 q U W b K 1 0 k a L B n f 4 V S B j s u K l 5 I b 5 K 1 i U e T J 6 i 0 t o s J c c 5 h t 8 B t X 5 C Q 0 o C c s u 1 B l L L h 6 C O r / 7 K v t L F c C 4 k Y H F 9 j W I i D i O K I L j E F M k P I l P 4 K 4 b T 3 2 f 5 A 2 A y 1 H X r J O u u v 9 0 D m C O T 9 g T 0 A U E s D B B Q A A g A I A C C Z c 1 o 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A g m X N a J g H 4 4 q A A A A D R A A A A E w A c A E Z v c m 1 1 b G F z L 1 N l Y 3 R p b 2 4 x L m 0 g o h g A K K A U A A A A A A A A A A A A A A A A A A A A A A A A A A A A b Y 0 x C 4 M w F I T 3 Q P 7 D I 1 0 U R H A W h y I t d O n S Q A d x i P p K x Z g n S Y S K + N + b 1 o 6 9 5 e C 4 + 8 5 h 6 3 s y c N s 9 y z n j z D 2 V x Q 6 k a l C r D A r Q 6 D m D o D M Z j y E 4 v V r U a T l b i 8 b f y Q 4 N 0 R D F a 3 V V I x b i t x T 1 V p W f h f F 1 s g M O Q v Y T w V F 7 t K o j E V i h r D G V V h n 3 I D u W p O f R y G V C F 3 3 v k n U V F 5 G A D x E o s 2 x b z F l v / v P y N 1 B L A Q I t A B Q A A g A I A C C Z c 1 r D x U j C p Q A A A P Y A A A A S A A A A A A A A A A A A A A A A A A A A A A B D b 2 5 m a W c v U G F j a 2 F n Z S 5 4 b W x Q S w E C L Q A U A A I A C A A g m X N a D 8 r p q 6 Q A A A D p A A A A E w A A A A A A A A A A A A A A A A D x A A A A W 0 N v b n R l b n R f V H l w Z X N d L n h t b F B L A Q I t A B Q A A g A I A C C Z c 1 o m A f j i o A A A A N E A A A A T A A A A A A A A A A A A A A A A A O I B A A B G b 3 J t d W x h c y 9 T Z W N 0 a W 9 u M S 5 t U E s F B g A A A A A D A A M A w g A A A M 8 C 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u 4 H A A A A A A A A z A c 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P j x F b n R y e S B U e X B l P S J S Z W x h d G l v b n N o a X B z I i B W Y W x 1 Z T 0 i c 0 F B Q U F B Q T 0 9 I i A v P j w v U 3 R h Y m x l R W 5 0 c m l l c z 4 8 L 0 l 0 Z W 0 + P E l 0 Z W 0 + P E l 0 Z W 1 M b 2 N h d G l v b j 4 8 S X R l b V R 5 c G U + R m 9 y b X V s Y T w v S X R l b V R 5 c G U + P E l 0 Z W 1 Q Y X R o P l N l Y 3 R p b 2 4 x L 1 R h Y m V s Y T E 8 L 0 l 0 Z W 1 Q Y X R o P j w v S X R l b U x v Y 2 F 0 a W 9 u P j x T d G F i b G V F b n R y a W V z P j x F b n R y e S B U e X B l P S J J c 1 B y a X Z h d G U i I F Z h b H V l P S J s M C I g L z 4 8 R W 5 0 c n k g V H l w Z T 0 i Q n V m Z m V y T m V 4 d F J l Z n J l c 2 g i I F Z h b H V l P S J s M S I g L z 4 8 R W 5 0 c n k g V H l w Z T 0 i R m l s b E V u Y W J s Z W Q i I F Z h b H V l P S J s M C I g L z 4 8 R W 5 0 c n k g V H l w Z T 0 i R m l s b E 9 i a m V j d F R 5 c G U i I F Z h b H V l P S J z Q 2 9 u b m V j d G l v b k 9 u b H k i I C 8 + P E V u d H J 5 I F R 5 c G U 9 I k Z p b G x U b 0 R h d G F N b 2 R l b E V u Y W J s Z W Q i I F Z h b H V l P S J s M C I g L z 4 8 R W 5 0 c n k g V H l w Z T 0 i T m F t Z V V w Z G F 0 Z W R B Z n R l c k Z p b G w i I F Z h b H V l P S J s M C I g L z 4 8 R W 5 0 c n k g V H l w Z T 0 i T m F 2 a W d h d G l v b l N 0 Z X B O Y W 1 l I i B W Y W x 1 Z T 0 i c 0 5 h d m V n Y c O n w 6 N v I i A v P j x F b n R y e S B U e X B l P S J S Z X N 1 b H R U e X B l I i B W Y W x 1 Z T 0 i c 0 V 4 Y 2 V w d G l v b i I g L z 4 8 R W 5 0 c n k g V H l w Z T 0 i R m l s b G V k Q 2 9 t c G x l d G V S Z X N 1 b H R U b 1 d v c m t z a G V l d C I g V m F s d W U 9 I m w x I i A v P j x F b n R y e S B U e X B l P S J B Z G R l Z F R v R G F 0 Y U 1 v Z G V s I i B W Y W x 1 Z T 0 i b D A i I C 8 + P E V u d H J 5 I F R 5 c G U 9 I k Z p b G x D b 3 V u d C I g V m F s d W U 9 I m w y N C I g L z 4 8 R W 5 0 c n k g V H l w Z T 0 i R m l s b E V y c m 9 y Q 2 9 k Z S I g V m F s d W U 9 I n N V b m t u b 3 d u I i A v P j x F b n R y e S B U e X B l P S J G a W x s R X J y b 3 J D b 3 V u d C I g V m F s d W U 9 I m w w I i A v P j x F b n R y e S B U e X B l P S J G a W x s T G F z d F V w Z G F 0 Z W Q i I F Z h b H V l P S J k M j A x O C 0 x M i 0 w N l Q y M T o 1 M z o y M C 4 4 O T A 2 M z U x W i I g L z 4 8 R W 5 0 c n k g V H l w Z T 0 i R m l s b E N v b H V t b l R 5 c G V z I i B W Y W x 1 Z T 0 i c 0 F B P T 0 i I C 8 + P E V u d H J 5 I F R 5 c G U 9 I k Z p b G x D b 2 x 1 b W 5 O Y W 1 l c y I g V m F s d W U 9 I n N b J n F 1 b 3 Q 7 S S Z x d W 9 0 O 1 0 i I C 8 + P E V u d H J 5 I F R 5 c G U 9 I k Z p b G x T d G F 0 d X M i I F Z h b H V l P S J z Q 2 9 t c G x l d G U i I C 8 + P E V u d H J 5 I F R 5 c G U 9 I l J l b G F 0 a W 9 u c 2 h p c E l u Z m 9 D b 2 5 0 Y W l u Z X I i I F Z h b H V l P S J z e y Z x d W 9 0 O 2 N v b H V t b k N v d W 5 0 J n F 1 b 3 Q 7 O j E s J n F 1 b 3 Q 7 a 2 V 5 Q 2 9 s d W 1 u T m F t Z X M m c X V v d D s 6 W 1 0 s J n F 1 b 3 Q 7 c X V l c n l S Z W x h d G l v b n N o a X B z J n F 1 b 3 Q 7 O l t d L C Z x d W 9 0 O 2 N v b H V t b k l k Z W 5 0 a X R p Z X M m c X V v d D s 6 W y Z x d W 9 0 O 1 N l Y 3 R p b 2 4 x L 1 R h Y m V s Y T E v V G l w b y B B b H R l c m F k b y 5 7 S S w w f S Z x d W 9 0 O 1 0 s J n F 1 b 3 Q 7 Q 2 9 s d W 1 u Q 2 9 1 b n Q m c X V v d D s 6 M S w m c X V v d D t L Z X l D b 2 x 1 b W 5 O Y W 1 l c y Z x d W 9 0 O z p b X S w m c X V v d D t D b 2 x 1 b W 5 J Z G V u d G l 0 a W V z J n F 1 b 3 Q 7 O l s m c X V v d D t T Z W N 0 a W 9 u M S 9 U Y W J l b G E x L 1 R p c G 8 g Q W x 0 Z X J h Z G 8 u e 0 k s M H 0 m c X V v d D t d L C Z x d W 9 0 O 1 J l b G F 0 a W 9 u c 2 h p c E l u Z m 8 m c X V v d D s 6 W 1 1 9 I i A v P j w v U 3 R h Y m x l R W 5 0 c m l l c z 4 8 L 0 l 0 Z W 0 + P E l 0 Z W 0 + P E l 0 Z W 1 M b 2 N h d G l v b j 4 8 S X R l b V R 5 c G U + R m 9 y b X V s Y T w v S X R l b V R 5 c G U + P E l 0 Z W 1 Q Y X R o P l N l Y 3 R p b 2 4 x L 1 R h Y m V s Y T E v R m 9 u d G U 8 L 0 l 0 Z W 1 Q Y X R o P j w v S X R l b U x v Y 2 F 0 a W 9 u P j x T d G F i b G V F b n R y a W V z I C 8 + P C 9 J d G V t P j x J d G V t P j x J d G V t T G 9 j Y X R p b 2 4 + P E l 0 Z W 1 U e X B l P k Z v c m 1 1 b G E 8 L 0 l 0 Z W 1 U e X B l P j x J d G V t U G F 0 a D 5 T Z W N 0 a W 9 u M S 9 U Y W J l b G E x L 1 R p c G 8 l M j B B b H R l c m F k b z w v S X R l b V B h d G g + P C 9 J d G V t T G 9 j Y X R p b 2 4 + P F N 0 Y W J s Z U V u d H J p Z X M g L z 4 8 L 0 l 0 Z W 0 + P C 9 J d G V t c z 4 8 L 0 x v Y 2 F s U G F j a 2 F n Z U 1 l d G F k Y X R h R m l s Z T 4 W A A A A U E s F B g A A A A A A A A A A A A A A A A A A A A A A A C Y B A A A B A A A A 0 I y d 3 w E V 0 R G M e g D A T 8 K X 6 w E A A A D J G T y O k T z / Q I B m + / / Q W R u J A A A A A A I A A A A A A B B m A A A A A Q A A I A A A A E i / I Y i x X I G / F y Z 6 B O r K I u U p o 0 R Y D d d + 6 Z O F 2 h N w 0 d L h A A A A A A 6 A A A A A A g A A I A A A A K s + E A 3 4 W 0 d U O r s E r s f G B L R u Q e V 4 o X W I + 7 n G J O x q B s 5 1 U A A A A H G a j F u L a H g L S e G t Q K k C Q 0 f g U A u p a x 6 z z y f 9 3 7 4 Y k e D M 4 d b K 2 q 2 a J Z r J j 9 s f 5 6 i Y R U X u v e k c m T 5 X o + r u 7 W V s M 0 4 M t b 1 g M L + R c D m 8 c h w O D u E d Q A A A A B J d o 8 v y T O q x h E 5 6 f k O X U s w M U m q j 4 C 8 i m p c j + 5 S W J I s l v K m 1 7 M 9 S 8 4 r W C R E 1 w J 8 x a 4 B / 6 N 6 b + r 8 w p M r H 9 l j C x j 0 = < / D a t a M a s h u p > 
</file>

<file path=customXml/itemProps1.xml><?xml version="1.0" encoding="utf-8"?>
<ds:datastoreItem xmlns:ds="http://schemas.openxmlformats.org/officeDocument/2006/customXml" ds:itemID="{9111405F-C853-4388-9575-B69FC6F0675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73a663f-0de1-40d5-aea2-ad4a4134c6db"/>
    <ds:schemaRef ds:uri="78ac0673-ae12-4826-8e5b-472e759546e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5BCD88A-06EA-49A4-9DAA-C34B8791D559}">
  <ds:schemaRefs>
    <ds:schemaRef ds:uri="http://schemas.microsoft.com/sharepoint/v3/contenttype/forms"/>
  </ds:schemaRefs>
</ds:datastoreItem>
</file>

<file path=customXml/itemProps3.xml><?xml version="1.0" encoding="utf-8"?>
<ds:datastoreItem xmlns:ds="http://schemas.openxmlformats.org/officeDocument/2006/customXml" ds:itemID="{439E8F8C-A416-48BE-B4BC-9431777396ED}">
  <ds:schemaRefs>
    <ds:schemaRef ds:uri="78ac0673-ae12-4826-8e5b-472e759546e6"/>
    <ds:schemaRef ds:uri="http://schemas.openxmlformats.org/package/2006/metadata/core-properties"/>
    <ds:schemaRef ds:uri="http://purl.org/dc/elements/1.1/"/>
    <ds:schemaRef ds:uri="http://purl.org/dc/dcmitype/"/>
    <ds:schemaRef ds:uri="http://schemas.microsoft.com/office/2006/documentManagement/types"/>
    <ds:schemaRef ds:uri="http://schemas.microsoft.com/office/2006/metadata/properties"/>
    <ds:schemaRef ds:uri="http://schemas.microsoft.com/office/infopath/2007/PartnerControls"/>
    <ds:schemaRef ds:uri="http://www.w3.org/XML/1998/namespace"/>
    <ds:schemaRef ds:uri="b73a663f-0de1-40d5-aea2-ad4a4134c6db"/>
    <ds:schemaRef ds:uri="http://purl.org/dc/terms/"/>
  </ds:schemaRefs>
</ds:datastoreItem>
</file>

<file path=customXml/itemProps4.xml><?xml version="1.0" encoding="utf-8"?>
<ds:datastoreItem xmlns:ds="http://schemas.openxmlformats.org/officeDocument/2006/customXml" ds:itemID="{2A9A8222-A3A6-4792-B22C-A70D01F3D10D}">
  <ds:schemaRefs>
    <ds:schemaRef ds:uri="http://schemas.microsoft.com/DataMashup"/>
  </ds:schemaRefs>
</ds:datastoreItem>
</file>

<file path=docMetadata/LabelInfo.xml><?xml version="1.0" encoding="utf-8"?>
<clbl:labelList xmlns:clbl="http://schemas.microsoft.com/office/2020/mipLabelMetadata">
  <clbl:label id="{5f7dcd09-6007-4829-84ad-261ba9354702}" enabled="1" method="Standard" siteId="{6d60b55c-2576-4d60-ae33-11df0ea07983}" contentBits="1"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6</vt:i4>
      </vt:variant>
      <vt:variant>
        <vt:lpstr>Intervalos Nomeados</vt:lpstr>
      </vt:variant>
      <vt:variant>
        <vt:i4>6</vt:i4>
      </vt:variant>
    </vt:vector>
  </HeadingPairs>
  <TitlesOfParts>
    <vt:vector size="12" baseType="lpstr">
      <vt:lpstr>Dados da OS</vt:lpstr>
      <vt:lpstr>Funções</vt:lpstr>
      <vt:lpstr>Pontos por Requisito</vt:lpstr>
      <vt:lpstr>Fatores de Impacto e INMs</vt:lpstr>
      <vt:lpstr>ResumoContagem</vt:lpstr>
      <vt:lpstr>Parâmetros</vt:lpstr>
      <vt:lpstr>Detalhada</vt:lpstr>
      <vt:lpstr>Estimada</vt:lpstr>
      <vt:lpstr>Indicativa</vt:lpstr>
      <vt:lpstr>ListaDeflator</vt:lpstr>
      <vt:lpstr>PFSimplificado</vt:lpstr>
      <vt:lpstr>TipoDeContagem</vt:lpstr>
    </vt:vector>
  </TitlesOfParts>
  <Manager/>
  <Company>DATASUS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Template Planilha PF</dc:title>
  <dc:subject>Análise de Pontos de Função</dc:subject>
  <dc:creator>Usuário do Windows</dc:creator>
  <cp:keywords/>
  <dc:description>Versão 4.0</dc:description>
  <cp:lastModifiedBy>Tiago Gabriel Musardo Firmino</cp:lastModifiedBy>
  <cp:revision>38</cp:revision>
  <dcterms:created xsi:type="dcterms:W3CDTF">2011-04-06T17:26:48Z</dcterms:created>
  <dcterms:modified xsi:type="dcterms:W3CDTF">2026-06-29T01:06:18Z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15.0300</vt:lpwstr>
  </property>
  <property fmtid="{D5CDD505-2E9C-101B-9397-08002B2CF9AE}" pid="3" name="Company">
    <vt:lpwstr>DATASUS</vt:lpwstr>
  </property>
  <property fmtid="{D5CDD505-2E9C-101B-9397-08002B2CF9AE}" pid="4" name="DocSecurity">
    <vt:i4>0</vt:i4>
  </property>
  <property fmtid="{D5CDD505-2E9C-101B-9397-08002B2CF9AE}" pid="5" name="HyperlinksChanged">
    <vt:bool>false</vt:bool>
  </property>
  <property fmtid="{D5CDD505-2E9C-101B-9397-08002B2CF9AE}" pid="6" name="LinksUpToDate">
    <vt:bool>false</vt:bool>
  </property>
  <property fmtid="{D5CDD505-2E9C-101B-9397-08002B2CF9AE}" pid="7" name="ScaleCrop">
    <vt:bool>false</vt:bool>
  </property>
  <property fmtid="{D5CDD505-2E9C-101B-9397-08002B2CF9AE}" pid="8" name="ShareDoc">
    <vt:bool>false</vt:bool>
  </property>
  <property fmtid="{D5CDD505-2E9C-101B-9397-08002B2CF9AE}" pid="9" name="ContentTypeId">
    <vt:lpwstr>0x0101002A4B4E0140DDE149B511FAEC0BA2340E</vt:lpwstr>
  </property>
</Properties>
</file>